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c\Desktop\Blogartikel\Stundensatz eines Mitarbeiters\"/>
    </mc:Choice>
  </mc:AlternateContent>
  <workbookProtection workbookAlgorithmName="SHA-512" workbookHashValue="8/fmHa1Ovs6U7F8ke9kUaU0ydPAyjM/JFw0ninylCfhFjO5KIomuZMp2M5fCVKWzS5b7J/uGjTQqHk8Z7BFgnw==" workbookSaltValue="Yq32KnjJCpgmWUXPYrUJsQ==" workbookSpinCount="100000" lockStructure="1"/>
  <bookViews>
    <workbookView xWindow="-120" yWindow="-120" windowWidth="29040" windowHeight="15840"/>
  </bookViews>
  <sheets>
    <sheet name="Vollkosten Zusammenfassung" sheetId="13" r:id="rId1"/>
    <sheet name="verstecken" sheetId="12" state="hidden" r:id="rId2"/>
    <sheet name="Stundensatz" sheetId="7" state="hidden" r:id="rId3"/>
    <sheet name="Vergleichstabelle" sheetId="8" r:id="rId4"/>
    <sheet name="Bemerkungen" sheetId="6" r:id="rId5"/>
    <sheet name="Kontakt" sheetId="4" r:id="rId6"/>
    <sheet name="Sheet1" sheetId="5" state="hidden" r:id="rId7"/>
    <sheet name="Arbeitsblatt (draft)" sheetId="9" state="hidden"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 i="12" l="1"/>
  <c r="F24" i="12"/>
  <c r="F19" i="12"/>
  <c r="H16" i="12"/>
  <c r="I16" i="12" s="1"/>
  <c r="H15" i="12"/>
  <c r="I15" i="12" s="1"/>
  <c r="H13" i="12"/>
  <c r="I13" i="12" s="1"/>
  <c r="H12" i="12"/>
  <c r="I12" i="12" s="1"/>
  <c r="H11" i="12"/>
  <c r="I11" i="12" s="1"/>
  <c r="F14" i="12"/>
  <c r="F18" i="12"/>
  <c r="F10" i="12"/>
  <c r="F5" i="12"/>
  <c r="H3" i="12"/>
  <c r="I3" i="12" s="1"/>
  <c r="F29" i="12"/>
  <c r="U32" i="13"/>
  <c r="T32" i="13"/>
  <c r="S32" i="13"/>
  <c r="R32" i="13"/>
  <c r="Q32" i="13"/>
  <c r="P32" i="13"/>
  <c r="U31" i="13"/>
  <c r="T31" i="13"/>
  <c r="S31" i="13"/>
  <c r="R31" i="13"/>
  <c r="Q31" i="13"/>
  <c r="P31" i="13"/>
  <c r="U30" i="13"/>
  <c r="T30" i="13"/>
  <c r="S30" i="13"/>
  <c r="R30" i="13"/>
  <c r="Q30" i="13"/>
  <c r="P30" i="13"/>
  <c r="U29" i="13"/>
  <c r="T29" i="13"/>
  <c r="S29" i="13"/>
  <c r="R29" i="13"/>
  <c r="Q29" i="13"/>
  <c r="P29" i="13"/>
  <c r="U28" i="13"/>
  <c r="T28" i="13"/>
  <c r="S28" i="13"/>
  <c r="R28" i="13"/>
  <c r="Q28" i="13"/>
  <c r="P28" i="13"/>
  <c r="U27" i="13"/>
  <c r="T27" i="13"/>
  <c r="S27" i="13"/>
  <c r="R27" i="13"/>
  <c r="Q27" i="13"/>
  <c r="P27" i="13"/>
  <c r="U26" i="13"/>
  <c r="T26" i="13"/>
  <c r="S26" i="13"/>
  <c r="R26" i="13"/>
  <c r="Q26" i="13"/>
  <c r="P26" i="13"/>
  <c r="U25" i="13"/>
  <c r="T25" i="13"/>
  <c r="S25" i="13"/>
  <c r="R25" i="13"/>
  <c r="Q25" i="13"/>
  <c r="P25" i="13"/>
  <c r="U24" i="13"/>
  <c r="T24" i="13"/>
  <c r="S24" i="13"/>
  <c r="R24" i="13"/>
  <c r="Q24" i="13"/>
  <c r="P24" i="13"/>
  <c r="U23" i="13"/>
  <c r="T23" i="13"/>
  <c r="S23" i="13"/>
  <c r="R23" i="13"/>
  <c r="Q23" i="13"/>
  <c r="P23" i="13"/>
  <c r="U22" i="13"/>
  <c r="T22" i="13"/>
  <c r="S22" i="13"/>
  <c r="R22" i="13"/>
  <c r="Q22" i="13"/>
  <c r="P22" i="13"/>
  <c r="U21" i="13"/>
  <c r="T21" i="13"/>
  <c r="S21" i="13"/>
  <c r="R21" i="13"/>
  <c r="Q21" i="13"/>
  <c r="P21" i="13"/>
  <c r="U20" i="13"/>
  <c r="T20" i="13"/>
  <c r="S20" i="13"/>
  <c r="R20" i="13"/>
  <c r="Q20" i="13"/>
  <c r="P20" i="13"/>
  <c r="U19" i="13"/>
  <c r="T19" i="13"/>
  <c r="S19" i="13"/>
  <c r="R19" i="13"/>
  <c r="Q19" i="13"/>
  <c r="P19" i="13"/>
  <c r="U18" i="13"/>
  <c r="T18" i="13"/>
  <c r="S18" i="13"/>
  <c r="R18" i="13"/>
  <c r="Q18" i="13"/>
  <c r="P18" i="13"/>
  <c r="Q17" i="13"/>
  <c r="R17" i="13" s="1"/>
  <c r="S17" i="13" s="1"/>
  <c r="T17" i="13" s="1"/>
  <c r="U17" i="13" s="1"/>
  <c r="O17" i="13"/>
  <c r="R48" i="13"/>
  <c r="R50" i="13" s="1"/>
  <c r="R40" i="13" s="1"/>
  <c r="R41" i="13" s="1"/>
  <c r="R46" i="13"/>
  <c r="I48" i="13" s="1"/>
  <c r="U10" i="13"/>
  <c r="U9" i="13"/>
  <c r="I23" i="13"/>
  <c r="K23" i="13" s="1"/>
  <c r="K22" i="13"/>
  <c r="J22" i="13"/>
  <c r="K21" i="13"/>
  <c r="J21" i="13"/>
  <c r="K19" i="13"/>
  <c r="J19" i="13"/>
  <c r="K18" i="13"/>
  <c r="J18" i="13"/>
  <c r="H49" i="13"/>
  <c r="K17" i="13"/>
  <c r="J17" i="13"/>
  <c r="I10" i="13"/>
  <c r="H4" i="12" s="1"/>
  <c r="I4" i="12" s="1"/>
  <c r="K9" i="13"/>
  <c r="J9" i="13"/>
  <c r="B8" i="13"/>
  <c r="P4" i="12"/>
  <c r="Q4" i="12" s="1"/>
  <c r="R4" i="12" s="1"/>
  <c r="S4" i="12" s="1"/>
  <c r="O4" i="12"/>
  <c r="A2" i="12"/>
  <c r="K48" i="13" l="1"/>
  <c r="U12" i="13"/>
  <c r="T12" i="13" s="1"/>
  <c r="G34" i="13" s="1"/>
  <c r="J23" i="13"/>
  <c r="I20" i="13"/>
  <c r="B14" i="13"/>
  <c r="B28" i="13" s="1"/>
  <c r="H17" i="12"/>
  <c r="I17" i="12" s="1"/>
  <c r="R52" i="13"/>
  <c r="K42" i="13"/>
  <c r="K46" i="13"/>
  <c r="K45" i="13"/>
  <c r="I11" i="13"/>
  <c r="K10" i="13"/>
  <c r="H5" i="12"/>
  <c r="I5" i="12" s="1"/>
  <c r="A9" i="12"/>
  <c r="A23" i="12" s="1"/>
  <c r="A30" i="12" s="1"/>
  <c r="U13" i="13" l="1"/>
  <c r="K20" i="13"/>
  <c r="J20" i="13"/>
  <c r="H14" i="12"/>
  <c r="I14" i="12" s="1"/>
  <c r="B33" i="13"/>
  <c r="B36" i="13" s="1"/>
  <c r="K11" i="13"/>
  <c r="J11" i="13"/>
  <c r="I12" i="13"/>
  <c r="H6" i="12"/>
  <c r="I6" i="12" s="1"/>
  <c r="B40" i="13" l="1"/>
  <c r="B42" i="13" s="1"/>
  <c r="B44" i="13" s="1"/>
  <c r="J12" i="13"/>
  <c r="I16" i="13"/>
  <c r="K12" i="13"/>
  <c r="H10" i="12"/>
  <c r="I10" i="12" s="1"/>
  <c r="K16" i="13" l="1"/>
  <c r="I14" i="13"/>
  <c r="J16" i="13"/>
  <c r="H20" i="12"/>
  <c r="I20" i="12"/>
  <c r="I21" i="12" s="1"/>
  <c r="I26" i="13" l="1"/>
  <c r="I28" i="13"/>
  <c r="K14" i="13"/>
  <c r="J14" i="13"/>
  <c r="H21" i="12"/>
  <c r="H23" i="12"/>
  <c r="I23" i="12" s="1"/>
  <c r="B52" i="13" l="1"/>
  <c r="B54" i="13" s="1"/>
  <c r="B56" i="13" s="1"/>
  <c r="I31" i="13"/>
  <c r="J28" i="13"/>
  <c r="K28" i="13"/>
  <c r="K26" i="13"/>
  <c r="J26" i="13"/>
  <c r="H26" i="12"/>
  <c r="I26" i="12" s="1"/>
  <c r="I28" i="12" s="1"/>
  <c r="J31" i="13" l="1"/>
  <c r="K31" i="13"/>
  <c r="H30" i="12"/>
  <c r="K34" i="13" l="1"/>
  <c r="K35" i="13" s="1"/>
  <c r="K36" i="13" s="1"/>
  <c r="I29" i="12"/>
  <c r="K40" i="13" l="1"/>
  <c r="I52" i="13" s="1"/>
  <c r="K52" i="13" s="1"/>
  <c r="K9" i="7"/>
  <c r="K33" i="13"/>
  <c r="I30" i="12"/>
  <c r="M5" i="12" s="1"/>
  <c r="I49" i="13" l="1"/>
  <c r="K49" i="13" s="1"/>
  <c r="I47" i="13"/>
  <c r="I44" i="13" s="1"/>
  <c r="K47" i="13"/>
  <c r="K44" i="13" l="1"/>
  <c r="K54" i="13"/>
  <c r="K56" i="13" s="1"/>
  <c r="K17" i="7" l="1"/>
  <c r="K15" i="7"/>
  <c r="K14" i="7"/>
  <c r="K11" i="7"/>
  <c r="B9" i="9" l="1"/>
  <c r="Q9" i="9"/>
  <c r="B11" i="9"/>
  <c r="I11" i="9"/>
  <c r="B13" i="9"/>
  <c r="I14" i="9"/>
  <c r="I15" i="9"/>
  <c r="Q15" i="9"/>
  <c r="H16" i="9"/>
  <c r="Q16" i="9"/>
  <c r="Q17" i="9" s="1"/>
  <c r="M18" i="9"/>
  <c r="M64" i="9" s="1"/>
  <c r="Q18" i="9"/>
  <c r="M19" i="9"/>
  <c r="B20" i="9"/>
  <c r="H20" i="9"/>
  <c r="M20" i="9"/>
  <c r="Q20" i="9"/>
  <c r="M21" i="9"/>
  <c r="B22" i="9"/>
  <c r="B24" i="9" s="1"/>
  <c r="G22" i="9"/>
  <c r="P30" i="9"/>
  <c r="R30" i="9"/>
  <c r="S30" i="9"/>
  <c r="R31" i="7" s="1"/>
  <c r="T30" i="9"/>
  <c r="U30" i="9" s="1"/>
  <c r="T31" i="7" s="1"/>
  <c r="P31" i="9"/>
  <c r="R31" i="9"/>
  <c r="S31" i="9" s="1"/>
  <c r="T31" i="9" s="1"/>
  <c r="U31" i="9" s="1"/>
  <c r="O35" i="9"/>
  <c r="O34" i="9" s="1"/>
  <c r="O33" i="9" s="1"/>
  <c r="O32" i="9" s="1"/>
  <c r="O37" i="9"/>
  <c r="O38" i="9"/>
  <c r="O39" i="9" s="1"/>
  <c r="O40" i="9" s="1"/>
  <c r="O41" i="9" s="1"/>
  <c r="O42" i="9" s="1"/>
  <c r="O43" i="9" s="1"/>
  <c r="M47" i="9"/>
  <c r="P47" i="9"/>
  <c r="R47" i="9"/>
  <c r="S47" i="9" s="1"/>
  <c r="T47" i="9" s="1"/>
  <c r="U47" i="9" s="1"/>
  <c r="P48" i="9"/>
  <c r="R48" i="9"/>
  <c r="S48" i="9"/>
  <c r="T48" i="9" s="1"/>
  <c r="U48" i="9" s="1"/>
  <c r="O51" i="9"/>
  <c r="O50" i="9" s="1"/>
  <c r="N52" i="9"/>
  <c r="O52" i="9"/>
  <c r="N53" i="9"/>
  <c r="N54" i="9"/>
  <c r="O54" i="9"/>
  <c r="O55" i="9"/>
  <c r="O56" i="9" s="1"/>
  <c r="P64" i="9"/>
  <c r="R64" i="9"/>
  <c r="S64" i="9" s="1"/>
  <c r="P65" i="9"/>
  <c r="R65" i="9"/>
  <c r="S65" i="9"/>
  <c r="T65" i="9"/>
  <c r="U65" i="9" s="1"/>
  <c r="O68" i="9"/>
  <c r="O67" i="9" s="1"/>
  <c r="N69" i="9"/>
  <c r="O69" i="9"/>
  <c r="N70" i="9"/>
  <c r="O71" i="9"/>
  <c r="N71" i="9" s="1"/>
  <c r="B11" i="8"/>
  <c r="B13" i="8" s="1"/>
  <c r="B11" i="7"/>
  <c r="B13" i="7" s="1"/>
  <c r="I17" i="7"/>
  <c r="Q18" i="7"/>
  <c r="Q20" i="7"/>
  <c r="H18" i="7" s="1"/>
  <c r="Q22" i="7"/>
  <c r="Q10" i="7" s="1"/>
  <c r="Q11" i="7" s="1"/>
  <c r="N31" i="7"/>
  <c r="O31" i="7"/>
  <c r="P31" i="7"/>
  <c r="Q31" i="7"/>
  <c r="O32" i="7"/>
  <c r="P32" i="7"/>
  <c r="Q32" i="7"/>
  <c r="R32" i="7"/>
  <c r="S32" i="7"/>
  <c r="T32" i="7"/>
  <c r="O33" i="7"/>
  <c r="P33" i="7"/>
  <c r="Q33" i="7"/>
  <c r="R33" i="7"/>
  <c r="S33" i="7"/>
  <c r="T33" i="7"/>
  <c r="O34" i="7"/>
  <c r="P34" i="7"/>
  <c r="Q34" i="7"/>
  <c r="R34" i="7"/>
  <c r="S34" i="7"/>
  <c r="T34" i="7"/>
  <c r="O35" i="7"/>
  <c r="P35" i="7"/>
  <c r="Q35" i="7"/>
  <c r="R35" i="7"/>
  <c r="S35" i="7"/>
  <c r="T35" i="7"/>
  <c r="O36" i="7"/>
  <c r="P36" i="7"/>
  <c r="Q36" i="7"/>
  <c r="R36" i="7"/>
  <c r="S36" i="7"/>
  <c r="T36" i="7"/>
  <c r="O37" i="7"/>
  <c r="P37" i="7"/>
  <c r="Q37" i="7"/>
  <c r="R37" i="7"/>
  <c r="S37" i="7"/>
  <c r="T37" i="7"/>
  <c r="O38" i="7"/>
  <c r="P38" i="7"/>
  <c r="Q38" i="7"/>
  <c r="R38" i="7"/>
  <c r="S38" i="7"/>
  <c r="T38" i="7"/>
  <c r="O39" i="7"/>
  <c r="P39" i="7"/>
  <c r="Q39" i="7"/>
  <c r="R39" i="7"/>
  <c r="S39" i="7"/>
  <c r="T39" i="7"/>
  <c r="O40" i="7"/>
  <c r="P40" i="7"/>
  <c r="Q40" i="7"/>
  <c r="R40" i="7"/>
  <c r="S40" i="7"/>
  <c r="T40" i="7"/>
  <c r="M48" i="7"/>
  <c r="N48" i="7"/>
  <c r="O48" i="7"/>
  <c r="P48" i="7"/>
  <c r="O49" i="7"/>
  <c r="P49" i="7"/>
  <c r="Q49" i="7"/>
  <c r="R49" i="7"/>
  <c r="S49" i="7"/>
  <c r="T49" i="7"/>
  <c r="O50" i="7"/>
  <c r="P50" i="7"/>
  <c r="Q50" i="7"/>
  <c r="R50" i="7"/>
  <c r="S50" i="7"/>
  <c r="T50" i="7"/>
  <c r="O51" i="7"/>
  <c r="P51" i="7"/>
  <c r="Q51" i="7"/>
  <c r="R51" i="7"/>
  <c r="S51" i="7"/>
  <c r="T51" i="7"/>
  <c r="O52" i="7"/>
  <c r="P52" i="7"/>
  <c r="Q52" i="7"/>
  <c r="R52" i="7"/>
  <c r="S52" i="7"/>
  <c r="T52" i="7"/>
  <c r="O53" i="7"/>
  <c r="P53" i="7"/>
  <c r="Q53" i="7"/>
  <c r="R53" i="7"/>
  <c r="S53" i="7"/>
  <c r="T53" i="7"/>
  <c r="O54" i="7"/>
  <c r="P54" i="7"/>
  <c r="Q54" i="7"/>
  <c r="R54" i="7"/>
  <c r="S54" i="7"/>
  <c r="T54" i="7"/>
  <c r="O55" i="7"/>
  <c r="P55" i="7"/>
  <c r="Q55" i="7"/>
  <c r="R55" i="7"/>
  <c r="S55" i="7"/>
  <c r="T55" i="7"/>
  <c r="O56" i="7"/>
  <c r="P56" i="7"/>
  <c r="Q56" i="7"/>
  <c r="R56" i="7"/>
  <c r="S56" i="7"/>
  <c r="T56" i="7"/>
  <c r="O57" i="7"/>
  <c r="P57" i="7"/>
  <c r="Q57" i="7"/>
  <c r="R57" i="7"/>
  <c r="S57" i="7"/>
  <c r="T57" i="7"/>
  <c r="O58" i="7"/>
  <c r="P58" i="7"/>
  <c r="Q58" i="7"/>
  <c r="R58" i="7"/>
  <c r="S58" i="7"/>
  <c r="T58" i="7"/>
  <c r="O59" i="7"/>
  <c r="P59" i="7"/>
  <c r="Q59" i="7"/>
  <c r="R59" i="7"/>
  <c r="S59" i="7"/>
  <c r="T59" i="7"/>
  <c r="O60" i="7"/>
  <c r="P60" i="7"/>
  <c r="Q60" i="7"/>
  <c r="R60" i="7"/>
  <c r="S60" i="7"/>
  <c r="T60" i="7"/>
  <c r="M65" i="7"/>
  <c r="N65" i="7"/>
  <c r="O65" i="7"/>
  <c r="P65" i="7"/>
  <c r="O66" i="7"/>
  <c r="P66" i="7"/>
  <c r="Q66" i="7"/>
  <c r="R66" i="7"/>
  <c r="S66" i="7"/>
  <c r="T66" i="7"/>
  <c r="O67" i="7"/>
  <c r="P67" i="7"/>
  <c r="Q67" i="7"/>
  <c r="R67" i="7"/>
  <c r="S67" i="7"/>
  <c r="T67" i="7"/>
  <c r="O68" i="7"/>
  <c r="P68" i="7"/>
  <c r="Q68" i="7"/>
  <c r="R68" i="7"/>
  <c r="S68" i="7"/>
  <c r="T68" i="7"/>
  <c r="O69" i="7"/>
  <c r="P69" i="7"/>
  <c r="Q69" i="7"/>
  <c r="R69" i="7"/>
  <c r="S69" i="7"/>
  <c r="T69" i="7"/>
  <c r="O70" i="7"/>
  <c r="P70" i="7"/>
  <c r="Q70" i="7"/>
  <c r="R70" i="7"/>
  <c r="S70" i="7"/>
  <c r="T70" i="7"/>
  <c r="O71" i="7"/>
  <c r="P71" i="7"/>
  <c r="Q71" i="7"/>
  <c r="R71" i="7"/>
  <c r="S71" i="7"/>
  <c r="T71" i="7"/>
  <c r="O72" i="7"/>
  <c r="P72" i="7"/>
  <c r="Q72" i="7"/>
  <c r="R72" i="7"/>
  <c r="S72" i="7"/>
  <c r="T72" i="7"/>
  <c r="O73" i="7"/>
  <c r="P73" i="7"/>
  <c r="Q73" i="7"/>
  <c r="R73" i="7"/>
  <c r="S73" i="7"/>
  <c r="T73" i="7"/>
  <c r="O74" i="7"/>
  <c r="P74" i="7"/>
  <c r="Q74" i="7"/>
  <c r="R74" i="7"/>
  <c r="S74" i="7"/>
  <c r="T74" i="7"/>
  <c r="T64" i="9" l="1"/>
  <c r="R48" i="7"/>
  <c r="R65" i="7"/>
  <c r="N50" i="9"/>
  <c r="O49" i="9"/>
  <c r="N49" i="9" s="1"/>
  <c r="N49" i="7" s="1"/>
  <c r="N56" i="9"/>
  <c r="O57" i="9"/>
  <c r="O66" i="9"/>
  <c r="N66" i="9" s="1"/>
  <c r="N67" i="9"/>
  <c r="I17" i="9"/>
  <c r="N51" i="9"/>
  <c r="Q65" i="7"/>
  <c r="Q48" i="7"/>
  <c r="S31" i="7"/>
  <c r="O72" i="9"/>
  <c r="N68" i="9"/>
  <c r="N55" i="9"/>
  <c r="Q19" i="9"/>
  <c r="B15" i="8"/>
  <c r="B23" i="8" s="1"/>
  <c r="B21" i="7"/>
  <c r="B23" i="7" s="1"/>
  <c r="Q24" i="7"/>
  <c r="N53" i="7"/>
  <c r="N67" i="7"/>
  <c r="B25" i="8" l="1"/>
  <c r="H18" i="9"/>
  <c r="Q21" i="9"/>
  <c r="O58" i="9"/>
  <c r="N57" i="9"/>
  <c r="N72" i="9"/>
  <c r="N69" i="7" s="1"/>
  <c r="O73" i="9"/>
  <c r="S48" i="7"/>
  <c r="U64" i="9"/>
  <c r="S65" i="7"/>
  <c r="B27" i="8"/>
  <c r="B25" i="7"/>
  <c r="N66" i="7"/>
  <c r="N68" i="7"/>
  <c r="N52" i="7"/>
  <c r="N57" i="7"/>
  <c r="N54" i="7"/>
  <c r="N50" i="7"/>
  <c r="N55" i="7"/>
  <c r="N51" i="7"/>
  <c r="N56" i="7"/>
  <c r="O74" i="9" l="1"/>
  <c r="N73" i="9"/>
  <c r="N70" i="7" s="1"/>
  <c r="O59" i="9"/>
  <c r="N58" i="9"/>
  <c r="N58" i="7" s="1"/>
  <c r="Q10" i="9"/>
  <c r="Q23" i="9"/>
  <c r="T48" i="7"/>
  <c r="T65" i="7"/>
  <c r="O60" i="9" l="1"/>
  <c r="N60" i="9" s="1"/>
  <c r="N60" i="7" s="1"/>
  <c r="N59" i="9"/>
  <c r="N59" i="7" s="1"/>
  <c r="Q11" i="9"/>
  <c r="N36" i="9"/>
  <c r="N74" i="9"/>
  <c r="N71" i="7" s="1"/>
  <c r="O75" i="9"/>
  <c r="K11" i="9" l="1"/>
  <c r="K15" i="9"/>
  <c r="K14" i="9"/>
  <c r="K17" i="9"/>
  <c r="N75" i="9"/>
  <c r="N72" i="7" s="1"/>
  <c r="O76" i="9"/>
  <c r="N37" i="9"/>
  <c r="N35" i="9"/>
  <c r="N34" i="9" s="1"/>
  <c r="N33" i="9" s="1"/>
  <c r="N32" i="9" s="1"/>
  <c r="N33" i="7"/>
  <c r="N32" i="7" l="1"/>
  <c r="N38" i="9"/>
  <c r="N34" i="7"/>
  <c r="N76" i="9"/>
  <c r="N73" i="7" s="1"/>
  <c r="O77" i="9"/>
  <c r="N77" i="9" s="1"/>
  <c r="N74" i="7" s="1"/>
  <c r="N39" i="9" l="1"/>
  <c r="N35" i="7"/>
  <c r="N40" i="9" l="1"/>
  <c r="N36" i="7"/>
  <c r="N41" i="9" l="1"/>
  <c r="N37" i="7"/>
  <c r="N42" i="9" l="1"/>
  <c r="N38" i="7"/>
  <c r="N43" i="9" l="1"/>
  <c r="N40" i="7" s="1"/>
  <c r="N39" i="7"/>
  <c r="I16" i="7" l="1"/>
  <c r="I21" i="7"/>
  <c r="K9" i="9"/>
  <c r="I18" i="9" s="1"/>
  <c r="K18" i="9" s="1"/>
  <c r="I18" i="7"/>
  <c r="K18" i="7" s="1"/>
  <c r="K16" i="7" l="1"/>
  <c r="K13" i="7" s="1"/>
  <c r="I16" i="9"/>
  <c r="K16" i="9" s="1"/>
  <c r="K13" i="9" s="1"/>
  <c r="I13" i="7"/>
  <c r="I13" i="9" s="1"/>
  <c r="I20" i="9"/>
  <c r="K20" i="9" s="1"/>
  <c r="K21" i="7"/>
  <c r="K22" i="9" l="1"/>
  <c r="K24" i="9" s="1"/>
  <c r="O31" i="9" s="1"/>
  <c r="K23" i="7"/>
  <c r="K25" i="7" s="1"/>
  <c r="O48" i="9" l="1"/>
  <c r="O65" i="9"/>
</calcChain>
</file>

<file path=xl/sharedStrings.xml><?xml version="1.0" encoding="utf-8"?>
<sst xmlns="http://schemas.openxmlformats.org/spreadsheetml/2006/main" count="346" uniqueCount="144">
  <si>
    <t>Mitarbeiter</t>
  </si>
  <si>
    <t>Vollkosten</t>
  </si>
  <si>
    <t>Kalkulation Vollkosten für einen Mitarbeiter</t>
  </si>
  <si>
    <t>Einheit</t>
  </si>
  <si>
    <t>Inputs</t>
  </si>
  <si>
    <t>pro Monat</t>
  </si>
  <si>
    <t>in % des Bruttolohns</t>
  </si>
  <si>
    <t>pro Stunde</t>
  </si>
  <si>
    <t>Arbeitsstunden</t>
  </si>
  <si>
    <t>Anzahl Stunden</t>
  </si>
  <si>
    <t>Lohn</t>
  </si>
  <si>
    <t>Bruttolohn Monatslohn Mitarbeiter</t>
  </si>
  <si>
    <t>CHF</t>
  </si>
  <si>
    <r>
      <t xml:space="preserve">Sollstunden Brutto </t>
    </r>
    <r>
      <rPr>
        <b/>
        <vertAlign val="superscript"/>
        <sz val="10"/>
        <color theme="4" tint="-0.499984740745262"/>
        <rFont val="Arial"/>
        <family val="2"/>
        <charset val="204"/>
      </rPr>
      <t>12</t>
    </r>
  </si>
  <si>
    <t>Anteil 13. Monatslohn oder Bonus</t>
  </si>
  <si>
    <t>Anzahl Feiertage pro Jahr</t>
  </si>
  <si>
    <r>
      <t xml:space="preserve">Sozialversicherungen </t>
    </r>
    <r>
      <rPr>
        <b/>
        <vertAlign val="superscript"/>
        <sz val="10"/>
        <color theme="4" tint="-0.499984740745262"/>
        <rFont val="Arial"/>
        <family val="2"/>
        <charset val="204"/>
      </rPr>
      <t>1</t>
    </r>
  </si>
  <si>
    <t>%</t>
  </si>
  <si>
    <t>Anzahl Wochen Ferien</t>
  </si>
  <si>
    <t>Brutto (effektiver Arbeitgeberbeitrag)</t>
  </si>
  <si>
    <r>
      <t xml:space="preserve">Absenzen (Krankheit, Unfall, sonstiges) </t>
    </r>
    <r>
      <rPr>
        <b/>
        <vertAlign val="superscript"/>
        <sz val="10"/>
        <color theme="4" tint="-0.499984740745262"/>
        <rFont val="Arial"/>
        <family val="2"/>
        <charset val="204"/>
      </rPr>
      <t>13</t>
    </r>
  </si>
  <si>
    <t>Effektive Stunden pro Jahr</t>
  </si>
  <si>
    <t>Nebenkosten</t>
  </si>
  <si>
    <t>Effektive Stunden pro Monat</t>
  </si>
  <si>
    <r>
      <t xml:space="preserve">Weiterbildung  </t>
    </r>
    <r>
      <rPr>
        <b/>
        <vertAlign val="superscript"/>
        <sz val="10"/>
        <color theme="4" tint="-0.499984740745262"/>
        <rFont val="Arial"/>
        <family val="2"/>
        <charset val="204"/>
      </rPr>
      <t>2</t>
    </r>
  </si>
  <si>
    <r>
      <t xml:space="preserve">Administrationskosten </t>
    </r>
    <r>
      <rPr>
        <b/>
        <vertAlign val="superscript"/>
        <sz val="10"/>
        <color theme="4" tint="-0.499984740745262"/>
        <rFont val="Arial"/>
        <family val="2"/>
        <charset val="204"/>
      </rPr>
      <t>3</t>
    </r>
  </si>
  <si>
    <t>Bruttolohn</t>
  </si>
  <si>
    <r>
      <t xml:space="preserve">Arbeitsplatzkosten IT </t>
    </r>
    <r>
      <rPr>
        <b/>
        <vertAlign val="superscript"/>
        <sz val="10"/>
        <color theme="4" tint="-0.499984740745262"/>
        <rFont val="Arial"/>
        <family val="2"/>
        <charset val="204"/>
      </rPr>
      <t>4</t>
    </r>
  </si>
  <si>
    <t>Anteil 13. Monatslohn</t>
  </si>
  <si>
    <r>
      <t xml:space="preserve">Arbeitsplatzkosten Möbel </t>
    </r>
    <r>
      <rPr>
        <b/>
        <vertAlign val="superscript"/>
        <sz val="10"/>
        <color theme="4" tint="-0.499984740745262"/>
        <rFont val="Arial"/>
        <family val="2"/>
        <charset val="204"/>
      </rPr>
      <t>5</t>
    </r>
  </si>
  <si>
    <r>
      <t xml:space="preserve">Bewirtschaftungskosten (hier prop. der Fläche) </t>
    </r>
    <r>
      <rPr>
        <b/>
        <vertAlign val="superscript"/>
        <sz val="10"/>
        <color theme="4" tint="-0.499984740745262"/>
        <rFont val="Arial"/>
        <family val="2"/>
        <charset val="204"/>
      </rPr>
      <t>6</t>
    </r>
  </si>
  <si>
    <r>
      <t xml:space="preserve">Büromaterial </t>
    </r>
    <r>
      <rPr>
        <b/>
        <vertAlign val="superscript"/>
        <sz val="10"/>
        <color theme="4" tint="-0.499984740745262"/>
        <rFont val="Arial"/>
        <family val="2"/>
        <charset val="204"/>
      </rPr>
      <t>7</t>
    </r>
  </si>
  <si>
    <r>
      <t xml:space="preserve">Kaffee, Getränke, Früchte </t>
    </r>
    <r>
      <rPr>
        <b/>
        <vertAlign val="superscript"/>
        <sz val="10"/>
        <color theme="4" tint="-0.499984740745262"/>
        <rFont val="Arial"/>
        <family val="2"/>
        <charset val="204"/>
      </rPr>
      <t>8</t>
    </r>
  </si>
  <si>
    <t>Büromiete</t>
  </si>
  <si>
    <r>
      <t>Fläche in m2</t>
    </r>
    <r>
      <rPr>
        <i/>
        <sz val="10"/>
        <color theme="4" tint="-0.499984740745262"/>
        <rFont val="Arial"/>
        <family val="2"/>
        <charset val="204"/>
      </rPr>
      <t xml:space="preserve"> </t>
    </r>
    <r>
      <rPr>
        <b/>
        <i/>
        <vertAlign val="superscript"/>
        <sz val="10"/>
        <color theme="4" tint="-0.499984740745262"/>
        <rFont val="Arial"/>
        <family val="2"/>
        <charset val="204"/>
      </rPr>
      <t>9</t>
    </r>
  </si>
  <si>
    <t>m2</t>
  </si>
  <si>
    <t>Kosten pro m2 pro Jahr</t>
  </si>
  <si>
    <t>Total Lohn &amp; Nebenkosten</t>
  </si>
  <si>
    <t>Vollkosten pro Stunde</t>
  </si>
  <si>
    <t>Auslastung</t>
  </si>
  <si>
    <r>
      <t>Anteil Kosten für Teamführung</t>
    </r>
    <r>
      <rPr>
        <b/>
        <sz val="10"/>
        <color theme="4" tint="-0.499984740745262"/>
        <rFont val="Arial"/>
        <family val="2"/>
        <charset val="204"/>
      </rPr>
      <t xml:space="preserve"> </t>
    </r>
    <r>
      <rPr>
        <b/>
        <vertAlign val="superscript"/>
        <sz val="10"/>
        <color theme="4" tint="-0.499984740745262"/>
        <rFont val="Arial"/>
        <family val="2"/>
        <charset val="204"/>
      </rPr>
      <t>10</t>
    </r>
  </si>
  <si>
    <t>führt # Mitarbeiter</t>
  </si>
  <si>
    <t>#</t>
  </si>
  <si>
    <t>Lohn Team-Manager</t>
  </si>
  <si>
    <t>Total inkl. Management</t>
  </si>
  <si>
    <t>Aufschlag aufgrund nicht produktiver Zeit</t>
  </si>
  <si>
    <t>Arbeitsausfall (Feiertage, Ferien, Krankeit, etc.)</t>
  </si>
  <si>
    <t>(siehe Arbeitsstunden)</t>
  </si>
  <si>
    <r>
      <t xml:space="preserve">Arbeitsauslastung </t>
    </r>
    <r>
      <rPr>
        <b/>
        <vertAlign val="superscript"/>
        <sz val="10"/>
        <color theme="4" tint="-0.499984740745262"/>
        <rFont val="Arial"/>
        <family val="2"/>
        <charset val="204"/>
      </rPr>
      <t>11</t>
    </r>
  </si>
  <si>
    <t>Total pro effektiv geleisteter Arbeitsstunde</t>
  </si>
  <si>
    <t>*</t>
  </si>
  <si>
    <t>Bemerkungen zu den einzelnen Punkten auf der nächsten Seite</t>
  </si>
  <si>
    <t>Sozialversicherungen</t>
  </si>
  <si>
    <t>Brutto/Brutto p. Mt.</t>
  </si>
  <si>
    <r>
      <t xml:space="preserve">Weiterbildung in % Bruttolohn </t>
    </r>
    <r>
      <rPr>
        <b/>
        <vertAlign val="superscript"/>
        <sz val="10"/>
        <color theme="4" tint="-0.499984740745262"/>
        <rFont val="Arial"/>
        <family val="2"/>
        <charset val="204"/>
      </rPr>
      <t>1</t>
    </r>
  </si>
  <si>
    <r>
      <t xml:space="preserve">Administrationskosten </t>
    </r>
    <r>
      <rPr>
        <b/>
        <vertAlign val="superscript"/>
        <sz val="10"/>
        <color theme="4" tint="-0.499984740745262"/>
        <rFont val="Arial"/>
        <family val="2"/>
        <charset val="204"/>
      </rPr>
      <t>2</t>
    </r>
  </si>
  <si>
    <r>
      <t xml:space="preserve">Arbeitsplatzkosten IT </t>
    </r>
    <r>
      <rPr>
        <b/>
        <vertAlign val="superscript"/>
        <sz val="10"/>
        <color theme="4" tint="-0.499984740745262"/>
        <rFont val="Arial"/>
        <family val="2"/>
        <charset val="204"/>
      </rPr>
      <t>3</t>
    </r>
  </si>
  <si>
    <r>
      <t xml:space="preserve">Arbeitsplatzkosten Möbel </t>
    </r>
    <r>
      <rPr>
        <b/>
        <vertAlign val="superscript"/>
        <sz val="10"/>
        <color theme="4" tint="-0.499984740745262"/>
        <rFont val="Arial"/>
        <family val="2"/>
        <charset val="204"/>
      </rPr>
      <t>4</t>
    </r>
  </si>
  <si>
    <t>Bewirtschaftungskosten</t>
  </si>
  <si>
    <t>Büromaterial</t>
  </si>
  <si>
    <r>
      <t xml:space="preserve">Kaffee &amp; Getränke </t>
    </r>
    <r>
      <rPr>
        <b/>
        <vertAlign val="superscript"/>
        <sz val="10"/>
        <color theme="4" tint="-0.499984740745262"/>
        <rFont val="Arial"/>
        <family val="2"/>
        <charset val="204"/>
      </rPr>
      <t>5</t>
    </r>
  </si>
  <si>
    <t>Fläche in m2</t>
  </si>
  <si>
    <t>Total Nebenkosten p. Mt.</t>
  </si>
  <si>
    <t>Total Lohn &amp; Nebenkosten / Mt.</t>
  </si>
  <si>
    <t>Management Führungsspanne</t>
  </si>
  <si>
    <t>führt X Mitarbeiter</t>
  </si>
  <si>
    <t>Lohn Manager</t>
  </si>
  <si>
    <t>Total inkl. Management / Mt.</t>
  </si>
  <si>
    <t>Arbeitsauslastung</t>
  </si>
  <si>
    <t>Total pro effektiv gearbeiteter Stunde</t>
  </si>
  <si>
    <t>Bemerkungen / Quellen:</t>
  </si>
  <si>
    <t>Arbeitgeberbeitrag AHV/IV/EO/ALV, Pensionskasse (oblig/überoblig), Betriebsunfallvers.: abhängig vom Alter, Branche, Versicherungslösung, etc. 
Variiert je nach Branche zwischen 17.1% und 18% (Quelle: Struktur der Arbeitskosten, BfS), im Einzelfall zwischen 13% und 21%).</t>
  </si>
  <si>
    <t>Stark branchen- und positionsabhängig (direkte Weiterbildungskosten, Ausfall Arbeitszeit durchr Weiterbildung, Einarbeitung von neuen Mitarbeitern on-the-Job durch bestehende Mitarbeiter, etc.)</t>
  </si>
  <si>
    <t>Buchhaltung, Rekrutierungskosten, Spesenabrechungen, Lohnbuchhaltung, sonst. Administration, Versicherungen, Telefonkosten</t>
  </si>
  <si>
    <t xml:space="preserve">Effiziente Unternehmen erreichen durchschnittliche IT-Kosten von ca. CHF 200 je Person und Monat, bei kleineren Unternehmen sind diese Kosten tendenziell höher. </t>
  </si>
  <si>
    <t>http://www.inside-it.ch/articles/30006</t>
  </si>
  <si>
    <t>Arbeitstische, Stühle, Lichtquellen, Schränke, Eingangsbereich, Anteil an Sitzungszimmer, ev. Anteil an Küche/Kaffeeraum, etc.</t>
  </si>
  <si>
    <t>Verwaltungs- und Instandhaltungskosten, Betriebskosten (Reinigung, Hausmeister, Strom, Reception, etc.)</t>
  </si>
  <si>
    <t>Druckkosten, Papier, Schreibmaterialien, sonstiges Büromaterial</t>
  </si>
  <si>
    <t xml:space="preserve"> Tee, Kaffee, Mineral, Früchte</t>
  </si>
  <si>
    <t>15 m2 sind der durchschnittliche Platzbedarf eines Mitarbeiters: Gesamtfläche / # Mitarbeiter. Es werden also auch sonstige Flächen mit einberechnet wie Gänge, Eingangsbereich, Toiletten, etc.</t>
  </si>
  <si>
    <t>Ein Manager / Teamleader führt je nach Effizienz und nach Strukturierungsgrad der Arbeit zwischen 4 und 12 Mitarbeiter.</t>
  </si>
  <si>
    <t>Die Auslastung variiert je nach Art der Tätigkeit stark. Bei konstanten Tätigkeiten kann diese Rate hoch liegen (100% sind erfahrungsgemäss trotzdem selten erreichbar). Bei Tätigkeiten mit hohen Auslastungsschwankungen (z.B. Beratung) sind 70% eher die Regel als die Ausnahme. Neben dem Effekt der Auslastungsschwankungen ist der Effekt der anfänglichen Teilproduktivität der Mitarbeiter relevant. Je nach Tätigkeit kann es lange dauern, bis ein Mitarbeiter seine vollständige Produktivität erreicht hat (explizite Weiterbildung ist oben bereits berücksichtigt).</t>
  </si>
  <si>
    <t>Variiert von Jahr zu Jahr, abhängig von der Stunden-Arbeitszeit pro Woche.</t>
  </si>
  <si>
    <t>http://www.bfs.admin.ch/bfs/portal/de/index/themen/03/02/blank/data/06.html</t>
  </si>
  <si>
    <t>Wann immer möglich wurde versucht, eine geeignete Quelle zu finden. Die restlichen Zahlen sind Rasminka-Schätzungen, basierend auf Erfahrungswerten.</t>
  </si>
  <si>
    <t>Rasminka GmbH</t>
  </si>
  <si>
    <t>Flurstrasse 30</t>
  </si>
  <si>
    <t>CH-8048 Zürich</t>
  </si>
  <si>
    <t>Tel:    +41 44 585 22 72</t>
  </si>
  <si>
    <t>Mail:  info@rasminka.ch</t>
  </si>
  <si>
    <t>Web: www.rasminka.ch</t>
  </si>
  <si>
    <t>Dauer eines Auftrages</t>
  </si>
  <si>
    <t>Stundensatz</t>
  </si>
  <si>
    <t>Anzahl der Aufträge pro Monat</t>
  </si>
  <si>
    <t xml:space="preserve">*unbezahlte Kundenbesuche, Telefonate, Besprechungen, Mails, Offertenerstellung etc. </t>
  </si>
  <si>
    <t>Total Stundensatz</t>
  </si>
  <si>
    <t>Akquisitionskosten pro Auftrag</t>
  </si>
  <si>
    <t>Gewinn und Gewinnsteuer</t>
  </si>
  <si>
    <t>Anzahl der Aufträge</t>
  </si>
  <si>
    <t>Erfolgsrate Offerte</t>
  </si>
  <si>
    <t>Entwicklung und Weiterentwicklung des Services</t>
  </si>
  <si>
    <t>Anzahl Anfragen (Leads)</t>
  </si>
  <si>
    <t>Conversion rate (für Lead)</t>
  </si>
  <si>
    <t>St.</t>
  </si>
  <si>
    <t>Durchschnittliche Bearbeitungszeit für eine Offerte</t>
  </si>
  <si>
    <t>Werbekosten pro Monat</t>
  </si>
  <si>
    <t>Bearbeitung der Anfragen*</t>
  </si>
  <si>
    <t>Anzahl Klicks pro Monat</t>
  </si>
  <si>
    <t xml:space="preserve">Online-Marketing </t>
  </si>
  <si>
    <t>Kosten per Klick</t>
  </si>
  <si>
    <t>Contenterstellung</t>
  </si>
  <si>
    <t>Erstellung und Unterhaltung der Webseite</t>
  </si>
  <si>
    <t>Brandmanagement</t>
  </si>
  <si>
    <t>Kundenakquisition</t>
  </si>
  <si>
    <t>Total Stunden Kundenprojekt</t>
  </si>
  <si>
    <t>Marktanalyse</t>
  </si>
  <si>
    <t>Arbeitsstunden pro Kundenprojekt</t>
  </si>
  <si>
    <t>Total (Voll-) Kosten pro effektiv geleisteter Arbeitsstunde</t>
  </si>
  <si>
    <t>Kosten pro Jahr</t>
  </si>
  <si>
    <t>Stunden pro Monat</t>
  </si>
  <si>
    <t>Kalkulation Stundensatz für einen Mitarbeiter</t>
  </si>
  <si>
    <t>c)</t>
  </si>
  <si>
    <t>b)</t>
  </si>
  <si>
    <t>a)</t>
  </si>
  <si>
    <t>Basic</t>
  </si>
  <si>
    <t>Aufträge</t>
  </si>
  <si>
    <t>Projektdauer</t>
  </si>
  <si>
    <t>Spalte</t>
  </si>
  <si>
    <t>Reihe</t>
  </si>
  <si>
    <t>Projektsdauer</t>
  </si>
  <si>
    <t>Conversion rate</t>
  </si>
  <si>
    <t>Klicks</t>
  </si>
  <si>
    <t xml:space="preserve">*unbezahlte Kundenbesuche, Telefonate, Besprechungen, Mails, Offertestellungen etc. </t>
  </si>
  <si>
    <t>Lead</t>
  </si>
  <si>
    <t>Werbungskosten pro Monat</t>
  </si>
  <si>
    <t>Erstellung des Contents</t>
  </si>
  <si>
    <t>Kosts per Klick</t>
  </si>
  <si>
    <t>Brandsmanagement</t>
  </si>
  <si>
    <t>Kundenakquize</t>
  </si>
  <si>
    <t>Arbeitsstunden pro ein Kundenprojekt</t>
  </si>
  <si>
    <t>Total Kosten pro effektiv geleisteter Arbeitsstunde</t>
  </si>
  <si>
    <t xml:space="preserve">unbezahlte Kundenbesuche, Telefonate, Besprechungen, Mails, Offertenerstellung etc. </t>
  </si>
  <si>
    <r>
      <t xml:space="preserve">Bearbeitung der Anfragen </t>
    </r>
    <r>
      <rPr>
        <vertAlign val="superscript"/>
        <sz val="10"/>
        <color rgb="FF000000"/>
        <rFont val="Arial"/>
        <family val="2"/>
      </rPr>
      <t>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</si>
</sst>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0000000000000%"/>
    <numFmt numFmtId="167" formatCode="0.0%"/>
    <numFmt numFmtId="168" formatCode="&quot;[in CHF&quot;\]"/>
    <numFmt numFmtId="169" formatCode="&quot;CHF&quot;\ #,##0.00"/>
    <numFmt numFmtId="170" formatCode="0.0"/>
  </numFmts>
  <fonts count="52" x14ac:knownFonts="1">
    <font>
      <sz val="12"/>
      <color indexed="8"/>
      <name val="Calibri"/>
      <family val="2"/>
    </font>
    <font>
      <sz val="11"/>
      <color theme="1"/>
      <name val="Calibri"/>
      <family val="2"/>
      <scheme val="minor"/>
    </font>
    <font>
      <b/>
      <sz val="14"/>
      <color theme="0"/>
      <name val="Arial"/>
      <family val="2"/>
      <charset val="204"/>
    </font>
    <font>
      <sz val="11"/>
      <color indexed="8"/>
      <name val="Arial"/>
      <family val="2"/>
      <charset val="204"/>
    </font>
    <font>
      <b/>
      <sz val="18"/>
      <color theme="0"/>
      <name val="Arial"/>
      <family val="2"/>
      <charset val="204"/>
    </font>
    <font>
      <sz val="10"/>
      <color indexed="8"/>
      <name val="Arial"/>
      <family val="2"/>
      <charset val="204"/>
    </font>
    <font>
      <b/>
      <sz val="14"/>
      <color indexed="8"/>
      <name val="Arial"/>
      <family val="2"/>
      <charset val="204"/>
    </font>
    <font>
      <b/>
      <sz val="10"/>
      <color theme="0"/>
      <name val="Arial"/>
      <family val="2"/>
      <charset val="204"/>
    </font>
    <font>
      <sz val="10"/>
      <color theme="0"/>
      <name val="Arial"/>
      <family val="2"/>
      <charset val="204"/>
    </font>
    <font>
      <b/>
      <sz val="10"/>
      <color indexed="8"/>
      <name val="Arial"/>
      <family val="2"/>
      <charset val="204"/>
    </font>
    <font>
      <b/>
      <sz val="10"/>
      <name val="Arial"/>
      <family val="2"/>
      <charset val="204"/>
    </font>
    <font>
      <sz val="10"/>
      <name val="Arial"/>
      <family val="2"/>
      <charset val="204"/>
    </font>
    <font>
      <b/>
      <vertAlign val="superscript"/>
      <sz val="10"/>
      <color theme="4" tint="-0.499984740745262"/>
      <name val="Arial"/>
      <family val="2"/>
      <charset val="204"/>
    </font>
    <font>
      <b/>
      <sz val="11"/>
      <color indexed="8"/>
      <name val="Arial"/>
      <family val="2"/>
      <charset val="204"/>
    </font>
    <font>
      <i/>
      <sz val="10"/>
      <color indexed="8"/>
      <name val="Arial"/>
      <family val="2"/>
      <charset val="204"/>
    </font>
    <font>
      <i/>
      <sz val="10"/>
      <color theme="4" tint="-0.499984740745262"/>
      <name val="Arial"/>
      <family val="2"/>
      <charset val="204"/>
    </font>
    <font>
      <b/>
      <i/>
      <vertAlign val="superscript"/>
      <sz val="10"/>
      <color theme="4" tint="-0.499984740745262"/>
      <name val="Arial"/>
      <family val="2"/>
      <charset val="204"/>
    </font>
    <font>
      <b/>
      <i/>
      <sz val="10"/>
      <color theme="0"/>
      <name val="Arial"/>
      <family val="2"/>
      <charset val="204"/>
    </font>
    <font>
      <b/>
      <sz val="10"/>
      <color theme="4" tint="-0.499984740745262"/>
      <name val="Arial"/>
      <family val="2"/>
      <charset val="204"/>
    </font>
    <font>
      <sz val="9"/>
      <color indexed="8"/>
      <name val="Arial"/>
      <family val="2"/>
      <charset val="204"/>
    </font>
    <font>
      <sz val="11"/>
      <color theme="0"/>
      <name val="Arial"/>
      <family val="2"/>
      <charset val="204"/>
    </font>
    <font>
      <b/>
      <sz val="11"/>
      <color theme="0"/>
      <name val="Arial"/>
      <family val="2"/>
      <charset val="204"/>
    </font>
    <font>
      <sz val="12"/>
      <color indexed="8"/>
      <name val="Calibri"/>
      <family val="2"/>
      <scheme val="minor"/>
    </font>
    <font>
      <b/>
      <sz val="11"/>
      <color indexed="8"/>
      <name val="Calibri"/>
      <family val="2"/>
      <charset val="204"/>
      <scheme val="minor"/>
    </font>
    <font>
      <b/>
      <sz val="11"/>
      <name val="Arial"/>
      <family val="2"/>
      <charset val="204"/>
    </font>
    <font>
      <sz val="11"/>
      <color indexed="8"/>
      <name val="Calibri"/>
      <family val="2"/>
      <scheme val="minor"/>
    </font>
    <font>
      <sz val="9"/>
      <color theme="9" tint="-0.249977111117893"/>
      <name val="Calibri"/>
      <family val="2"/>
      <scheme val="minor"/>
    </font>
    <font>
      <b/>
      <sz val="11"/>
      <name val="Calibri"/>
      <family val="2"/>
      <scheme val="minor"/>
    </font>
    <font>
      <b/>
      <sz val="11"/>
      <color indexed="8"/>
      <name val="Calibri"/>
      <family val="2"/>
      <scheme val="minor"/>
    </font>
    <font>
      <b/>
      <sz val="9"/>
      <color indexed="8"/>
      <name val="Arial"/>
      <family val="2"/>
      <charset val="204"/>
    </font>
    <font>
      <b/>
      <sz val="12"/>
      <color indexed="8"/>
      <name val="Calibri"/>
      <family val="2"/>
      <scheme val="minor"/>
    </font>
    <font>
      <sz val="11"/>
      <name val="Calibri"/>
      <family val="2"/>
      <scheme val="minor"/>
    </font>
    <font>
      <u/>
      <sz val="12"/>
      <color theme="10"/>
      <name val="Calibri"/>
      <family val="2"/>
    </font>
    <font>
      <sz val="11"/>
      <color theme="0"/>
      <name val="Calibri"/>
      <family val="2"/>
      <charset val="204"/>
      <scheme val="minor"/>
    </font>
    <font>
      <sz val="11"/>
      <color theme="1"/>
      <name val="Arial"/>
      <family val="2"/>
      <charset val="204"/>
    </font>
    <font>
      <sz val="10"/>
      <color indexed="8"/>
      <name val="Calibri"/>
      <family val="2"/>
    </font>
    <font>
      <sz val="10"/>
      <color indexed="8"/>
      <name val="Arial"/>
      <family val="2"/>
    </font>
    <font>
      <u/>
      <sz val="10"/>
      <color theme="10"/>
      <name val="Arial"/>
      <family val="2"/>
    </font>
    <font>
      <b/>
      <vertAlign val="superscript"/>
      <sz val="10"/>
      <color indexed="8"/>
      <name val="Arial"/>
      <family val="2"/>
      <charset val="204"/>
    </font>
    <font>
      <b/>
      <sz val="12"/>
      <color indexed="8"/>
      <name val="Calibri"/>
      <family val="2"/>
    </font>
    <font>
      <sz val="9"/>
      <name val="Arial"/>
      <family val="2"/>
      <charset val="204"/>
    </font>
    <font>
      <sz val="11"/>
      <color rgb="FFFF0000"/>
      <name val="Calibri"/>
      <family val="2"/>
      <scheme val="minor"/>
    </font>
    <font>
      <b/>
      <sz val="11"/>
      <color theme="1"/>
      <name val="Calibri"/>
      <family val="2"/>
      <scheme val="minor"/>
    </font>
    <font>
      <sz val="8"/>
      <color theme="9" tint="-0.249977111117893"/>
      <name val="Arial"/>
      <family val="2"/>
      <charset val="204"/>
    </font>
    <font>
      <i/>
      <sz val="10"/>
      <color indexed="8"/>
      <name val="Arial"/>
      <family val="2"/>
    </font>
    <font>
      <b/>
      <i/>
      <sz val="11"/>
      <color indexed="8"/>
      <name val="Arial"/>
      <family val="2"/>
    </font>
    <font>
      <b/>
      <sz val="10"/>
      <color indexed="8"/>
      <name val="Arial"/>
      <family val="2"/>
    </font>
    <font>
      <b/>
      <sz val="10"/>
      <name val="Arial"/>
      <family val="2"/>
    </font>
    <font>
      <sz val="10"/>
      <color theme="1"/>
      <name val="Arial"/>
      <family val="2"/>
    </font>
    <font>
      <vertAlign val="superscript"/>
      <sz val="10"/>
      <color rgb="FF000000"/>
      <name val="Arial"/>
      <family val="2"/>
    </font>
    <font>
      <sz val="8"/>
      <color rgb="FFF47032"/>
      <name val="Arial"/>
      <family val="2"/>
      <charset val="204"/>
    </font>
    <font>
      <sz val="10"/>
      <color theme="9"/>
      <name val="Arial"/>
      <family val="2"/>
      <charset val="204"/>
    </font>
  </fonts>
  <fills count="16">
    <fill>
      <patternFill patternType="none"/>
    </fill>
    <fill>
      <patternFill patternType="gray125"/>
    </fill>
    <fill>
      <patternFill patternType="solid">
        <fgColor rgb="FFF47032"/>
        <bgColor indexed="64"/>
      </patternFill>
    </fill>
    <fill>
      <patternFill patternType="solid">
        <fgColor theme="9"/>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ABCA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32">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theme="1" tint="0.34998626667073579"/>
      </top>
      <bottom/>
      <diagonal/>
    </border>
    <border>
      <left/>
      <right/>
      <top style="thin">
        <color auto="1"/>
      </top>
      <bottom/>
      <diagonal/>
    </border>
    <border>
      <left/>
      <right/>
      <top/>
      <bottom style="thin">
        <color theme="1" tint="0.34998626667073579"/>
      </bottom>
      <diagonal/>
    </border>
    <border>
      <left/>
      <right/>
      <top/>
      <bottom style="medium">
        <color theme="9"/>
      </bottom>
      <diagonal/>
    </border>
    <border>
      <left style="dotted">
        <color theme="1" tint="0.34998626667073579"/>
      </left>
      <right/>
      <top style="dotted">
        <color theme="1" tint="0.34998626667073579"/>
      </top>
      <bottom/>
      <diagonal/>
    </border>
    <border>
      <left/>
      <right/>
      <top style="dotted">
        <color theme="1" tint="0.34998626667073579"/>
      </top>
      <bottom/>
      <diagonal/>
    </border>
    <border>
      <left/>
      <right style="dotted">
        <color theme="1" tint="0.34998626667073579"/>
      </right>
      <top style="dotted">
        <color theme="1" tint="0.34998626667073579"/>
      </top>
      <bottom/>
      <diagonal/>
    </border>
    <border>
      <left style="dotted">
        <color theme="1" tint="0.34998626667073579"/>
      </left>
      <right/>
      <top/>
      <bottom/>
      <diagonal/>
    </border>
    <border>
      <left/>
      <right style="dotted">
        <color theme="1" tint="0.34998626667073579"/>
      </right>
      <top/>
      <bottom/>
      <diagonal/>
    </border>
    <border>
      <left style="dotted">
        <color theme="1" tint="0.34998626667073579"/>
      </left>
      <right/>
      <top/>
      <bottom style="dotted">
        <color theme="1" tint="0.34998626667073579"/>
      </bottom>
      <diagonal/>
    </border>
    <border>
      <left/>
      <right style="dotted">
        <color theme="1" tint="0.34998626667073579"/>
      </right>
      <top/>
      <bottom style="dotted">
        <color theme="1" tint="0.34998626667073579"/>
      </bottom>
      <diagonal/>
    </border>
    <border>
      <left/>
      <right/>
      <top/>
      <bottom style="dotted">
        <color theme="1" tint="0.34998626667073579"/>
      </bottom>
      <diagonal/>
    </border>
    <border>
      <left/>
      <right/>
      <top style="thin">
        <color indexed="64"/>
      </top>
      <bottom style="thick">
        <color rgb="FFF47032"/>
      </bottom>
      <diagonal/>
    </border>
    <border>
      <left/>
      <right/>
      <top/>
      <bottom style="thick">
        <color rgb="FFF47032"/>
      </bottom>
      <diagonal/>
    </border>
    <border>
      <left/>
      <right/>
      <top/>
      <bottom style="medium">
        <color rgb="FFF47032"/>
      </bottom>
      <diagonal/>
    </border>
    <border>
      <left style="thin">
        <color rgb="FFF47032"/>
      </left>
      <right/>
      <top/>
      <bottom/>
      <diagonal/>
    </border>
    <border>
      <left/>
      <right/>
      <top style="thin">
        <color rgb="FFF47032"/>
      </top>
      <bottom/>
      <diagonal/>
    </border>
    <border>
      <left style="thin">
        <color rgb="FFF47032"/>
      </left>
      <right/>
      <top style="thin">
        <color rgb="FFF47032"/>
      </top>
      <bottom/>
      <diagonal/>
    </border>
    <border>
      <left style="medium">
        <color rgb="FFFF0000"/>
      </left>
      <right style="medium">
        <color rgb="FFFF0000"/>
      </right>
      <top/>
      <bottom style="medium">
        <color rgb="FFFF0000"/>
      </bottom>
      <diagonal/>
    </border>
    <border>
      <left style="medium">
        <color rgb="FFFF0000"/>
      </left>
      <right style="medium">
        <color rgb="FFFF0000"/>
      </right>
      <top/>
      <bottom style="thick">
        <color rgb="FFF47032"/>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medium">
        <color rgb="FFFF0000"/>
      </top>
      <bottom/>
      <diagonal/>
    </border>
    <border>
      <left/>
      <right style="thin">
        <color rgb="FFF47032"/>
      </right>
      <top/>
      <bottom/>
      <diagonal/>
    </border>
    <border>
      <left/>
      <right style="thin">
        <color rgb="FFF47032"/>
      </right>
      <top style="thin">
        <color rgb="FFF47032"/>
      </top>
      <bottom/>
      <diagonal/>
    </border>
    <border>
      <left style="thin">
        <color rgb="FFF47032"/>
      </left>
      <right/>
      <top/>
      <bottom style="thick">
        <color rgb="FFF47032"/>
      </bottom>
      <diagonal/>
    </border>
  </borders>
  <cellStyleXfs count="5">
    <xf numFmtId="0" fontId="0" fillId="0" borderId="0"/>
    <xf numFmtId="9" fontId="11" fillId="0" borderId="0" applyFill="0" applyBorder="0" applyAlignment="0" applyProtection="0"/>
    <xf numFmtId="0" fontId="32" fillId="0" borderId="0" applyNumberFormat="0" applyFill="0" applyBorder="0" applyAlignment="0" applyProtection="0"/>
    <xf numFmtId="0" fontId="1" fillId="0" borderId="0"/>
    <xf numFmtId="9" fontId="1" fillId="0" borderId="0" applyFont="0" applyFill="0" applyBorder="0" applyAlignment="0" applyProtection="0"/>
  </cellStyleXfs>
  <cellXfs count="350">
    <xf numFmtId="0" fontId="0" fillId="0" borderId="0" xfId="0"/>
    <xf numFmtId="0" fontId="2" fillId="0" borderId="0" xfId="0" applyFont="1" applyAlignment="1">
      <alignment horizontal="center"/>
    </xf>
    <xf numFmtId="0" fontId="3" fillId="0" borderId="0" xfId="0" applyFont="1"/>
    <xf numFmtId="0" fontId="2" fillId="2" borderId="0" xfId="0" applyFont="1" applyFill="1" applyAlignment="1">
      <alignment horizontal="left"/>
    </xf>
    <xf numFmtId="0" fontId="4" fillId="2" borderId="0" xfId="0" applyFont="1" applyFill="1" applyAlignment="1">
      <alignment horizontal="left"/>
    </xf>
    <xf numFmtId="0" fontId="2" fillId="2" borderId="0" xfId="0" applyFont="1" applyFill="1" applyAlignment="1">
      <alignment horizontal="center"/>
    </xf>
    <xf numFmtId="0" fontId="4" fillId="2" borderId="0" xfId="0" applyFont="1" applyFill="1" applyAlignment="1">
      <alignment horizontal="left" vertical="center"/>
    </xf>
    <xf numFmtId="0" fontId="5" fillId="0" borderId="0" xfId="0" applyFont="1" applyAlignment="1">
      <alignment horizontal="center"/>
    </xf>
    <xf numFmtId="0" fontId="5" fillId="0" borderId="0" xfId="0" applyFont="1"/>
    <xf numFmtId="4" fontId="5" fillId="0" borderId="0" xfId="0" applyNumberFormat="1" applyFont="1"/>
    <xf numFmtId="0" fontId="6" fillId="0" borderId="0" xfId="0" applyFont="1"/>
    <xf numFmtId="0" fontId="7" fillId="3" borderId="0" xfId="0" applyFont="1" applyFill="1"/>
    <xf numFmtId="4" fontId="7" fillId="3" borderId="0" xfId="0" applyNumberFormat="1" applyFont="1" applyFill="1" applyAlignment="1">
      <alignment horizontal="center"/>
    </xf>
    <xf numFmtId="0" fontId="8" fillId="3" borderId="0" xfId="0" applyFont="1" applyFill="1" applyAlignment="1">
      <alignment horizontal="center"/>
    </xf>
    <xf numFmtId="0" fontId="7" fillId="4" borderId="0" xfId="0" applyFont="1" applyFill="1"/>
    <xf numFmtId="0" fontId="8" fillId="4" borderId="0" xfId="0" applyFont="1" applyFill="1"/>
    <xf numFmtId="4" fontId="7" fillId="4" borderId="0" xfId="0" applyNumberFormat="1" applyFont="1" applyFill="1" applyAlignment="1">
      <alignment horizontal="center"/>
    </xf>
    <xf numFmtId="0" fontId="8" fillId="4" borderId="0" xfId="0" applyFont="1" applyFill="1" applyAlignment="1">
      <alignment horizontal="center"/>
    </xf>
    <xf numFmtId="4" fontId="7" fillId="4" borderId="0" xfId="0" applyNumberFormat="1" applyFont="1" applyFill="1" applyAlignment="1">
      <alignment horizontal="center" wrapText="1"/>
    </xf>
    <xf numFmtId="0" fontId="7" fillId="0" borderId="0" xfId="0" applyFont="1"/>
    <xf numFmtId="0" fontId="9" fillId="4" borderId="0" xfId="0" applyFont="1" applyFill="1"/>
    <xf numFmtId="0" fontId="10" fillId="4" borderId="1" xfId="0" applyFont="1" applyFill="1" applyBorder="1"/>
    <xf numFmtId="0" fontId="8" fillId="4" borderId="1" xfId="0" applyFont="1" applyFill="1" applyBorder="1"/>
    <xf numFmtId="4" fontId="7" fillId="4" borderId="1" xfId="0" applyNumberFormat="1" applyFont="1" applyFill="1" applyBorder="1" applyAlignment="1">
      <alignment horizontal="center"/>
    </xf>
    <xf numFmtId="0" fontId="8" fillId="4" borderId="1" xfId="0" applyFont="1" applyFill="1" applyBorder="1" applyAlignment="1">
      <alignment horizontal="center"/>
    </xf>
    <xf numFmtId="0" fontId="10" fillId="4" borderId="0" xfId="0" applyFont="1" applyFill="1"/>
    <xf numFmtId="0" fontId="8" fillId="4" borderId="0" xfId="0" applyFont="1" applyFill="1" applyAlignment="1">
      <alignment horizontal="right"/>
    </xf>
    <xf numFmtId="4" fontId="7" fillId="4" borderId="0" xfId="0" applyNumberFormat="1" applyFont="1" applyFill="1" applyAlignment="1">
      <alignment horizontal="right"/>
    </xf>
    <xf numFmtId="0" fontId="5" fillId="4" borderId="0" xfId="0" applyFont="1" applyFill="1"/>
    <xf numFmtId="0" fontId="5" fillId="4" borderId="0" xfId="0" applyFont="1" applyFill="1" applyAlignment="1">
      <alignment horizontal="left" indent="1"/>
    </xf>
    <xf numFmtId="0" fontId="5" fillId="4" borderId="0" xfId="0" applyFont="1" applyFill="1" applyAlignment="1">
      <alignment horizontal="center" vertical="center"/>
    </xf>
    <xf numFmtId="0" fontId="5" fillId="4" borderId="0" xfId="0" applyFont="1" applyFill="1" applyAlignment="1">
      <alignment horizontal="center"/>
    </xf>
    <xf numFmtId="3" fontId="5" fillId="5" borderId="2" xfId="0" applyNumberFormat="1" applyFont="1" applyFill="1" applyBorder="1" applyProtection="1">
      <protection locked="0"/>
    </xf>
    <xf numFmtId="9" fontId="11" fillId="4" borderId="0" xfId="1" applyFill="1" applyAlignment="1">
      <alignment horizontal="center"/>
    </xf>
    <xf numFmtId="4" fontId="5" fillId="4" borderId="0" xfId="0" applyNumberFormat="1" applyFont="1" applyFill="1" applyAlignment="1">
      <alignment horizontal="right"/>
    </xf>
    <xf numFmtId="164" fontId="5" fillId="4" borderId="0" xfId="0" applyNumberFormat="1" applyFont="1" applyFill="1"/>
    <xf numFmtId="9" fontId="5" fillId="5" borderId="3" xfId="0" applyNumberFormat="1" applyFont="1" applyFill="1" applyBorder="1" applyAlignment="1">
      <alignment horizontal="right"/>
    </xf>
    <xf numFmtId="3" fontId="5" fillId="5" borderId="3" xfId="0" applyNumberFormat="1" applyFont="1" applyFill="1" applyBorder="1" applyAlignment="1" applyProtection="1">
      <alignment horizontal="right"/>
      <protection locked="0"/>
    </xf>
    <xf numFmtId="3" fontId="5" fillId="4" borderId="0" xfId="0" applyNumberFormat="1" applyFont="1" applyFill="1"/>
    <xf numFmtId="9" fontId="11" fillId="4" borderId="0" xfId="1" applyFill="1" applyAlignment="1" applyProtection="1">
      <alignment horizontal="center"/>
      <protection locked="0"/>
    </xf>
    <xf numFmtId="9" fontId="5" fillId="4" borderId="0" xfId="0" applyNumberFormat="1" applyFont="1" applyFill="1"/>
    <xf numFmtId="9" fontId="11" fillId="5" borderId="4" xfId="1" applyFill="1" applyBorder="1" applyAlignment="1" applyProtection="1">
      <alignment horizontal="center"/>
      <protection locked="0"/>
    </xf>
    <xf numFmtId="0" fontId="13" fillId="0" borderId="0" xfId="0" applyFont="1"/>
    <xf numFmtId="0" fontId="9" fillId="4" borderId="5" xfId="0" applyFont="1" applyFill="1" applyBorder="1" applyAlignment="1">
      <alignment horizontal="left"/>
    </xf>
    <xf numFmtId="0" fontId="9" fillId="4" borderId="5" xfId="0" applyFont="1" applyFill="1" applyBorder="1"/>
    <xf numFmtId="0" fontId="9" fillId="4" borderId="5" xfId="0" applyFont="1" applyFill="1" applyBorder="1" applyAlignment="1">
      <alignment horizontal="center" vertical="center"/>
    </xf>
    <xf numFmtId="0" fontId="9" fillId="4" borderId="5" xfId="0" applyFont="1" applyFill="1" applyBorder="1" applyAlignment="1">
      <alignment horizontal="center"/>
    </xf>
    <xf numFmtId="3" fontId="9" fillId="4" borderId="5" xfId="0" applyNumberFormat="1" applyFont="1" applyFill="1" applyBorder="1"/>
    <xf numFmtId="9" fontId="10" fillId="4" borderId="5" xfId="1" applyFont="1" applyFill="1" applyBorder="1" applyAlignment="1">
      <alignment horizontal="center"/>
    </xf>
    <xf numFmtId="4" fontId="9" fillId="4" borderId="5" xfId="0" applyNumberFormat="1" applyFont="1" applyFill="1" applyBorder="1" applyAlignment="1">
      <alignment horizontal="right"/>
    </xf>
    <xf numFmtId="0" fontId="9" fillId="0" borderId="0" xfId="0" applyFont="1"/>
    <xf numFmtId="0" fontId="9" fillId="4" borderId="0" xfId="0" applyFont="1" applyFill="1" applyAlignment="1">
      <alignment horizontal="right"/>
    </xf>
    <xf numFmtId="3" fontId="5" fillId="5" borderId="4" xfId="0" applyNumberFormat="1" applyFont="1" applyFill="1" applyBorder="1" applyProtection="1">
      <protection locked="0"/>
    </xf>
    <xf numFmtId="0" fontId="9" fillId="4" borderId="0" xfId="0" applyFont="1" applyFill="1" applyAlignment="1">
      <alignment horizontal="center" vertical="center"/>
    </xf>
    <xf numFmtId="0" fontId="9" fillId="4" borderId="0" xfId="0" applyFont="1" applyFill="1" applyAlignment="1">
      <alignment horizontal="center"/>
    </xf>
    <xf numFmtId="3" fontId="9" fillId="4" borderId="0" xfId="0" applyNumberFormat="1" applyFont="1" applyFill="1"/>
    <xf numFmtId="4" fontId="9" fillId="4" borderId="0" xfId="0" applyNumberFormat="1" applyFont="1" applyFill="1" applyAlignment="1">
      <alignment horizontal="right"/>
    </xf>
    <xf numFmtId="0" fontId="5" fillId="4" borderId="6" xfId="0" applyFont="1" applyFill="1" applyBorder="1"/>
    <xf numFmtId="0" fontId="9" fillId="4" borderId="6" xfId="0" applyFont="1" applyFill="1" applyBorder="1"/>
    <xf numFmtId="4" fontId="9" fillId="4" borderId="6" xfId="0" applyNumberFormat="1" applyFont="1" applyFill="1" applyBorder="1"/>
    <xf numFmtId="9" fontId="5" fillId="4" borderId="7" xfId="0" applyNumberFormat="1" applyFont="1" applyFill="1" applyBorder="1" applyAlignment="1">
      <alignment horizontal="right"/>
    </xf>
    <xf numFmtId="4" fontId="9" fillId="4" borderId="0" xfId="0" applyNumberFormat="1" applyFont="1" applyFill="1" applyAlignment="1">
      <alignment horizontal="center"/>
    </xf>
    <xf numFmtId="0" fontId="5" fillId="4" borderId="0" xfId="0" applyFont="1" applyFill="1" applyAlignment="1">
      <alignment horizontal="right"/>
    </xf>
    <xf numFmtId="3" fontId="9" fillId="4" borderId="8" xfId="0" applyNumberFormat="1" applyFont="1" applyFill="1" applyBorder="1"/>
    <xf numFmtId="9" fontId="10" fillId="4" borderId="8" xfId="1" applyFont="1" applyFill="1" applyBorder="1" applyAlignment="1">
      <alignment horizontal="center"/>
    </xf>
    <xf numFmtId="4" fontId="9" fillId="4" borderId="8" xfId="0" applyNumberFormat="1" applyFont="1" applyFill="1" applyBorder="1" applyAlignment="1">
      <alignment horizontal="right"/>
    </xf>
    <xf numFmtId="0" fontId="9" fillId="4" borderId="6" xfId="0" applyFont="1" applyFill="1" applyBorder="1" applyAlignment="1">
      <alignment horizontal="center" vertical="center"/>
    </xf>
    <xf numFmtId="0" fontId="9" fillId="4" borderId="6" xfId="0" applyFont="1" applyFill="1" applyBorder="1" applyAlignment="1">
      <alignment horizontal="center"/>
    </xf>
    <xf numFmtId="3" fontId="9" fillId="4" borderId="6" xfId="0" applyNumberFormat="1" applyFont="1" applyFill="1" applyBorder="1"/>
    <xf numFmtId="9" fontId="11" fillId="4" borderId="6" xfId="1" applyFill="1" applyBorder="1" applyAlignment="1">
      <alignment horizontal="center"/>
    </xf>
    <xf numFmtId="4" fontId="9" fillId="4" borderId="6" xfId="0" applyNumberFormat="1" applyFont="1" applyFill="1" applyBorder="1" applyAlignment="1">
      <alignment horizontal="right"/>
    </xf>
    <xf numFmtId="164" fontId="5" fillId="0" borderId="0" xfId="0" applyNumberFormat="1" applyFont="1"/>
    <xf numFmtId="3" fontId="5" fillId="0" borderId="0" xfId="0" applyNumberFormat="1" applyFont="1"/>
    <xf numFmtId="9" fontId="11" fillId="5" borderId="3" xfId="1" applyFill="1" applyBorder="1" applyAlignment="1" applyProtection="1">
      <alignment horizontal="center"/>
      <protection locked="0"/>
    </xf>
    <xf numFmtId="166" fontId="5" fillId="0" borderId="0" xfId="0" applyNumberFormat="1" applyFont="1"/>
    <xf numFmtId="9" fontId="5" fillId="4" borderId="0" xfId="0" applyNumberFormat="1" applyFont="1" applyFill="1" applyAlignment="1">
      <alignment horizontal="center"/>
    </xf>
    <xf numFmtId="3" fontId="5" fillId="5" borderId="3" xfId="0" applyNumberFormat="1" applyFont="1" applyFill="1" applyBorder="1" applyProtection="1">
      <protection locked="0"/>
    </xf>
    <xf numFmtId="0" fontId="3" fillId="4" borderId="0" xfId="0" applyFont="1" applyFill="1"/>
    <xf numFmtId="0" fontId="14" fillId="4" borderId="0" xfId="0" applyFont="1" applyFill="1"/>
    <xf numFmtId="3" fontId="5" fillId="5" borderId="3" xfId="0" applyNumberFormat="1" applyFont="1" applyFill="1" applyBorder="1" applyAlignment="1" applyProtection="1">
      <alignment horizontal="center"/>
      <protection locked="0"/>
    </xf>
    <xf numFmtId="3" fontId="5" fillId="5" borderId="4" xfId="0" applyNumberFormat="1" applyFont="1" applyFill="1" applyBorder="1" applyAlignment="1" applyProtection="1">
      <alignment horizontal="center"/>
      <protection locked="0"/>
    </xf>
    <xf numFmtId="9" fontId="11" fillId="4" borderId="0" xfId="1" applyFill="1" applyBorder="1" applyAlignment="1">
      <alignment horizontal="center"/>
    </xf>
    <xf numFmtId="0" fontId="5" fillId="4" borderId="5" xfId="0" applyFont="1" applyFill="1" applyBorder="1"/>
    <xf numFmtId="0" fontId="9" fillId="4" borderId="1" xfId="0" applyFont="1" applyFill="1" applyBorder="1"/>
    <xf numFmtId="0" fontId="5" fillId="4" borderId="1" xfId="0" applyFont="1" applyFill="1" applyBorder="1"/>
    <xf numFmtId="0" fontId="9" fillId="4" borderId="1" xfId="0" applyFont="1" applyFill="1" applyBorder="1" applyAlignment="1">
      <alignment horizontal="center" vertical="center"/>
    </xf>
    <xf numFmtId="4" fontId="9" fillId="4" borderId="1" xfId="0" applyNumberFormat="1" applyFont="1" applyFill="1" applyBorder="1" applyAlignment="1">
      <alignment horizontal="center"/>
    </xf>
    <xf numFmtId="0" fontId="5" fillId="4" borderId="1" xfId="0" applyFont="1" applyFill="1" applyBorder="1" applyAlignment="1">
      <alignment horizontal="right"/>
    </xf>
    <xf numFmtId="3" fontId="9" fillId="4" borderId="1" xfId="0" applyNumberFormat="1" applyFont="1" applyFill="1" applyBorder="1"/>
    <xf numFmtId="9" fontId="10" fillId="4" borderId="1" xfId="1" applyFont="1" applyFill="1" applyBorder="1" applyAlignment="1">
      <alignment horizontal="center"/>
    </xf>
    <xf numFmtId="4" fontId="9" fillId="4" borderId="1" xfId="0" applyNumberFormat="1" applyFont="1" applyFill="1" applyBorder="1" applyAlignment="1">
      <alignment horizontal="right"/>
    </xf>
    <xf numFmtId="3" fontId="5" fillId="5" borderId="2" xfId="0" applyNumberFormat="1" applyFont="1" applyFill="1" applyBorder="1" applyAlignment="1" applyProtection="1">
      <alignment horizontal="center"/>
      <protection locked="0"/>
    </xf>
    <xf numFmtId="3" fontId="5" fillId="5" borderId="4" xfId="0" applyNumberFormat="1" applyFont="1" applyFill="1" applyBorder="1" applyAlignment="1" applyProtection="1">
      <alignment horizontal="center" vertical="center"/>
      <protection locked="0"/>
    </xf>
    <xf numFmtId="3" fontId="5" fillId="4" borderId="5" xfId="0" applyNumberFormat="1" applyFont="1" applyFill="1" applyBorder="1" applyAlignment="1">
      <alignment horizontal="center"/>
    </xf>
    <xf numFmtId="3" fontId="5" fillId="4" borderId="0" xfId="0" applyNumberFormat="1" applyFont="1" applyFill="1" applyAlignment="1">
      <alignment horizontal="center"/>
    </xf>
    <xf numFmtId="9" fontId="10" fillId="4" borderId="0" xfId="1" applyFont="1" applyFill="1" applyBorder="1" applyAlignment="1">
      <alignment horizontal="center"/>
    </xf>
    <xf numFmtId="0" fontId="13" fillId="4" borderId="0" xfId="0" applyFont="1" applyFill="1"/>
    <xf numFmtId="0" fontId="19" fillId="4" borderId="0" xfId="0" applyFont="1" applyFill="1" applyAlignment="1">
      <alignment horizontal="left"/>
    </xf>
    <xf numFmtId="0" fontId="3" fillId="0" borderId="0" xfId="0" applyFont="1" applyAlignment="1">
      <alignment horizontal="center"/>
    </xf>
    <xf numFmtId="4" fontId="3" fillId="0" borderId="0" xfId="0" applyNumberFormat="1" applyFont="1"/>
    <xf numFmtId="0" fontId="20" fillId="0" borderId="0" xfId="0" applyFont="1"/>
    <xf numFmtId="0" fontId="5" fillId="0" borderId="0" xfId="0" applyFont="1" applyAlignment="1">
      <alignment horizontal="left" indent="1"/>
    </xf>
    <xf numFmtId="165" fontId="3" fillId="0" borderId="0" xfId="0" applyNumberFormat="1" applyFont="1"/>
    <xf numFmtId="0" fontId="21" fillId="3" borderId="0" xfId="0" applyFont="1" applyFill="1"/>
    <xf numFmtId="0" fontId="20" fillId="3" borderId="0" xfId="0" applyFont="1" applyFill="1"/>
    <xf numFmtId="0" fontId="20" fillId="3" borderId="0" xfId="0" applyFont="1" applyFill="1" applyAlignment="1">
      <alignment horizontal="center"/>
    </xf>
    <xf numFmtId="0" fontId="22" fillId="0" borderId="0" xfId="0" applyFont="1"/>
    <xf numFmtId="0" fontId="23" fillId="0" borderId="0" xfId="0" applyFont="1"/>
    <xf numFmtId="0" fontId="24" fillId="0" borderId="0" xfId="0" applyFont="1"/>
    <xf numFmtId="4" fontId="7" fillId="0" borderId="0" xfId="0" applyNumberFormat="1" applyFont="1" applyAlignment="1">
      <alignment horizontal="center"/>
    </xf>
    <xf numFmtId="0" fontId="20" fillId="0" borderId="0" xfId="0" applyFont="1" applyAlignment="1">
      <alignment horizontal="center"/>
    </xf>
    <xf numFmtId="0" fontId="8" fillId="0" borderId="0" xfId="0" applyFont="1" applyAlignment="1">
      <alignment horizontal="center"/>
    </xf>
    <xf numFmtId="0" fontId="25" fillId="0" borderId="0" xfId="0" applyFont="1"/>
    <xf numFmtId="0" fontId="19" fillId="0" borderId="0" xfId="0" applyFont="1" applyAlignment="1">
      <alignment horizontal="center" vertical="center"/>
    </xf>
    <xf numFmtId="4" fontId="5" fillId="7" borderId="0" xfId="0" applyNumberFormat="1" applyFont="1" applyFill="1" applyAlignment="1">
      <alignment horizontal="right"/>
    </xf>
    <xf numFmtId="4" fontId="3" fillId="0" borderId="0" xfId="0" applyNumberFormat="1" applyFont="1" applyAlignment="1">
      <alignment horizontal="right"/>
    </xf>
    <xf numFmtId="0" fontId="5" fillId="3" borderId="0" xfId="0" applyFont="1" applyFill="1"/>
    <xf numFmtId="164" fontId="5" fillId="3" borderId="0" xfId="0" applyNumberFormat="1" applyFont="1" applyFill="1"/>
    <xf numFmtId="3" fontId="5" fillId="3" borderId="0" xfId="0" applyNumberFormat="1" applyFont="1" applyFill="1"/>
    <xf numFmtId="0" fontId="25" fillId="3" borderId="0" xfId="0" applyFont="1" applyFill="1"/>
    <xf numFmtId="168" fontId="26" fillId="0" borderId="0" xfId="0" applyNumberFormat="1" applyFont="1" applyAlignment="1">
      <alignment horizontal="right"/>
    </xf>
    <xf numFmtId="9" fontId="27" fillId="6" borderId="0" xfId="1" applyFont="1" applyFill="1" applyBorder="1"/>
    <xf numFmtId="9" fontId="3" fillId="0" borderId="0" xfId="0" applyNumberFormat="1" applyFont="1"/>
    <xf numFmtId="9" fontId="11" fillId="7" borderId="0" xfId="1" applyFill="1" applyAlignment="1">
      <alignment horizontal="center"/>
    </xf>
    <xf numFmtId="9" fontId="5" fillId="0" borderId="0" xfId="0" applyNumberFormat="1" applyFont="1"/>
    <xf numFmtId="4" fontId="5" fillId="0" borderId="0" xfId="0" applyNumberFormat="1" applyFont="1" applyAlignment="1">
      <alignment horizontal="right"/>
    </xf>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horizontal="right"/>
    </xf>
    <xf numFmtId="4" fontId="13" fillId="0" borderId="0" xfId="0" applyNumberFormat="1" applyFont="1" applyAlignment="1">
      <alignment horizontal="right"/>
    </xf>
    <xf numFmtId="4" fontId="22" fillId="0" borderId="0" xfId="0" applyNumberFormat="1" applyFont="1"/>
    <xf numFmtId="3" fontId="27" fillId="6" borderId="0" xfId="0" applyNumberFormat="1" applyFont="1" applyFill="1"/>
    <xf numFmtId="165" fontId="25" fillId="0" borderId="10" xfId="0" applyNumberFormat="1" applyFont="1" applyBorder="1"/>
    <xf numFmtId="165" fontId="25" fillId="0" borderId="11" xfId="0" applyNumberFormat="1" applyFont="1" applyBorder="1"/>
    <xf numFmtId="165" fontId="25" fillId="8" borderId="11" xfId="0" applyNumberFormat="1" applyFont="1" applyFill="1" applyBorder="1"/>
    <xf numFmtId="165" fontId="25" fillId="0" borderId="12" xfId="0" applyNumberFormat="1" applyFont="1" applyBorder="1"/>
    <xf numFmtId="0" fontId="28" fillId="0" borderId="0" xfId="0" applyFont="1"/>
    <xf numFmtId="0" fontId="29" fillId="0" borderId="0" xfId="0" applyFont="1" applyAlignment="1">
      <alignment horizontal="center" vertical="center"/>
    </xf>
    <xf numFmtId="0" fontId="30" fillId="0" borderId="0" xfId="0" applyFont="1"/>
    <xf numFmtId="165" fontId="25" fillId="0" borderId="13" xfId="0" applyNumberFormat="1" applyFont="1" applyBorder="1"/>
    <xf numFmtId="165" fontId="25" fillId="0" borderId="14" xfId="0" applyNumberFormat="1" applyFont="1" applyBorder="1"/>
    <xf numFmtId="4" fontId="9" fillId="0" borderId="0" xfId="0" applyNumberFormat="1" applyFont="1" applyAlignment="1">
      <alignment horizontal="center"/>
    </xf>
    <xf numFmtId="0" fontId="5" fillId="0" borderId="0" xfId="0" applyFont="1" applyAlignment="1">
      <alignment horizontal="right"/>
    </xf>
    <xf numFmtId="165" fontId="25" fillId="8" borderId="10" xfId="0" applyNumberFormat="1" applyFont="1" applyFill="1" applyBorder="1"/>
    <xf numFmtId="0" fontId="9" fillId="0" borderId="6" xfId="0" applyFont="1" applyBorder="1"/>
    <xf numFmtId="0" fontId="5" fillId="0" borderId="6" xfId="0" applyFont="1" applyBorder="1"/>
    <xf numFmtId="0" fontId="29" fillId="0" borderId="6" xfId="0" applyFont="1" applyBorder="1" applyAlignment="1">
      <alignment horizontal="center" vertical="center"/>
    </xf>
    <xf numFmtId="0" fontId="13" fillId="0" borderId="6" xfId="0" applyFont="1" applyBorder="1"/>
    <xf numFmtId="0" fontId="9" fillId="0" borderId="6" xfId="0" applyFont="1" applyBorder="1" applyAlignment="1">
      <alignment horizontal="center"/>
    </xf>
    <xf numFmtId="4" fontId="9" fillId="0" borderId="6" xfId="0" applyNumberFormat="1" applyFont="1" applyBorder="1" applyAlignment="1">
      <alignment horizontal="right"/>
    </xf>
    <xf numFmtId="4" fontId="13" fillId="0" borderId="6" xfId="0" applyNumberFormat="1" applyFont="1" applyBorder="1" applyAlignment="1">
      <alignment horizontal="right"/>
    </xf>
    <xf numFmtId="165" fontId="25" fillId="8" borderId="13" xfId="0" applyNumberFormat="1" applyFont="1" applyFill="1" applyBorder="1"/>
    <xf numFmtId="165" fontId="25" fillId="9" borderId="13" xfId="0" applyNumberFormat="1" applyFont="1" applyFill="1" applyBorder="1"/>
    <xf numFmtId="165" fontId="25" fillId="8" borderId="14" xfId="0" applyNumberFormat="1" applyFont="1" applyFill="1" applyBorder="1"/>
    <xf numFmtId="9" fontId="5" fillId="0" borderId="0" xfId="0" applyNumberFormat="1" applyFont="1" applyAlignment="1">
      <alignment horizontal="center"/>
    </xf>
    <xf numFmtId="4" fontId="5" fillId="7" borderId="0" xfId="0" applyNumberFormat="1" applyFont="1" applyFill="1" applyAlignment="1">
      <alignment horizontal="center"/>
    </xf>
    <xf numFmtId="0" fontId="14" fillId="0" borderId="0" xfId="0" applyFont="1"/>
    <xf numFmtId="3" fontId="5" fillId="7" borderId="0" xfId="0" applyNumberFormat="1" applyFont="1" applyFill="1" applyAlignment="1">
      <alignment horizontal="center"/>
    </xf>
    <xf numFmtId="0" fontId="28" fillId="3" borderId="0" xfId="0" applyFont="1" applyFill="1"/>
    <xf numFmtId="165" fontId="25" fillId="8" borderId="15" xfId="0" applyNumberFormat="1" applyFont="1" applyFill="1" applyBorder="1"/>
    <xf numFmtId="165" fontId="25" fillId="0" borderId="16" xfId="0" applyNumberFormat="1" applyFont="1" applyBorder="1"/>
    <xf numFmtId="165" fontId="25" fillId="0" borderId="15" xfId="0" applyNumberFormat="1" applyFont="1" applyBorder="1"/>
    <xf numFmtId="165" fontId="25" fillId="8" borderId="17" xfId="0" applyNumberFormat="1" applyFont="1" applyFill="1" applyBorder="1"/>
    <xf numFmtId="165" fontId="25" fillId="0" borderId="17" xfId="0" applyNumberFormat="1" applyFont="1" applyBorder="1"/>
    <xf numFmtId="0" fontId="9" fillId="0" borderId="7" xfId="0" applyFont="1" applyBorder="1"/>
    <xf numFmtId="0" fontId="5" fillId="0" borderId="7" xfId="0" applyFont="1" applyBorder="1"/>
    <xf numFmtId="0" fontId="29" fillId="0" borderId="7" xfId="0" applyFont="1" applyBorder="1" applyAlignment="1">
      <alignment horizontal="center" vertical="center"/>
    </xf>
    <xf numFmtId="0" fontId="13" fillId="0" borderId="7" xfId="0" applyFont="1" applyBorder="1"/>
    <xf numFmtId="0" fontId="9" fillId="0" borderId="7" xfId="0" applyFont="1" applyBorder="1" applyAlignment="1">
      <alignment horizontal="center"/>
    </xf>
    <xf numFmtId="4" fontId="9" fillId="0" borderId="7" xfId="0" applyNumberFormat="1" applyFont="1" applyBorder="1" applyAlignment="1">
      <alignment horizontal="right"/>
    </xf>
    <xf numFmtId="4" fontId="13" fillId="0" borderId="7" xfId="0" applyNumberFormat="1" applyFont="1" applyBorder="1" applyAlignment="1">
      <alignment horizontal="right"/>
    </xf>
    <xf numFmtId="4" fontId="5" fillId="7" borderId="0" xfId="0" applyNumberFormat="1" applyFont="1" applyFill="1"/>
    <xf numFmtId="4" fontId="28" fillId="0" borderId="0" xfId="0" applyNumberFormat="1" applyFont="1" applyAlignment="1">
      <alignment horizontal="right"/>
    </xf>
    <xf numFmtId="3" fontId="5" fillId="0" borderId="0" xfId="0" applyNumberFormat="1" applyFont="1" applyAlignment="1">
      <alignment horizontal="center"/>
    </xf>
    <xf numFmtId="0" fontId="28" fillId="0" borderId="0" xfId="0" applyFont="1" applyAlignment="1">
      <alignment horizontal="right"/>
    </xf>
    <xf numFmtId="0" fontId="23" fillId="0" borderId="9" xfId="0" applyFont="1" applyBorder="1"/>
    <xf numFmtId="0" fontId="10" fillId="0" borderId="9" xfId="0" applyFont="1" applyBorder="1"/>
    <xf numFmtId="0" fontId="31" fillId="0" borderId="9" xfId="0" applyFont="1" applyBorder="1"/>
    <xf numFmtId="0" fontId="29" fillId="0" borderId="9" xfId="0" applyFont="1" applyBorder="1" applyAlignment="1">
      <alignment horizontal="center" vertical="center"/>
    </xf>
    <xf numFmtId="4" fontId="31" fillId="0" borderId="9" xfId="0" applyNumberFormat="1" applyFont="1" applyBorder="1"/>
    <xf numFmtId="4" fontId="10" fillId="0" borderId="9" xfId="0" applyNumberFormat="1" applyFont="1" applyBorder="1" applyAlignment="1">
      <alignment horizontal="right"/>
    </xf>
    <xf numFmtId="4" fontId="7" fillId="3" borderId="9" xfId="0" applyNumberFormat="1" applyFont="1" applyFill="1" applyBorder="1" applyAlignment="1">
      <alignment horizontal="right"/>
    </xf>
    <xf numFmtId="0" fontId="33" fillId="2" borderId="0" xfId="0" applyFont="1" applyFill="1"/>
    <xf numFmtId="0" fontId="34" fillId="10" borderId="0" xfId="0" applyFont="1" applyFill="1"/>
    <xf numFmtId="0" fontId="8" fillId="2" borderId="0" xfId="0" applyFont="1" applyFill="1"/>
    <xf numFmtId="0" fontId="5" fillId="2" borderId="0" xfId="0" applyFont="1" applyFill="1"/>
    <xf numFmtId="0" fontId="8" fillId="4" borderId="0" xfId="0" applyFont="1" applyFill="1" applyAlignment="1">
      <alignment wrapText="1"/>
    </xf>
    <xf numFmtId="0" fontId="35" fillId="4" borderId="0" xfId="0" applyFont="1" applyFill="1"/>
    <xf numFmtId="0" fontId="19" fillId="0" borderId="0" xfId="0" applyFont="1"/>
    <xf numFmtId="0" fontId="12" fillId="4" borderId="0" xfId="0" applyFont="1" applyFill="1" applyAlignment="1">
      <alignment horizontal="right" vertical="top"/>
    </xf>
    <xf numFmtId="0" fontId="19" fillId="0" borderId="0" xfId="0" applyFont="1" applyAlignment="1">
      <alignment vertical="top"/>
    </xf>
    <xf numFmtId="0" fontId="0" fillId="0" borderId="0" xfId="0" applyAlignment="1">
      <alignment vertical="top"/>
    </xf>
    <xf numFmtId="0" fontId="39" fillId="0" borderId="0" xfId="0" applyFont="1"/>
    <xf numFmtId="0" fontId="40" fillId="0" borderId="0" xfId="0" applyFont="1" applyAlignment="1">
      <alignment horizontal="left" vertical="center" readingOrder="1"/>
    </xf>
    <xf numFmtId="0" fontId="40" fillId="0" borderId="0" xfId="0" applyFont="1"/>
    <xf numFmtId="9" fontId="0" fillId="0" borderId="0" xfId="0" applyNumberFormat="1"/>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center" vertical="center" wrapText="1"/>
    </xf>
    <xf numFmtId="0" fontId="10" fillId="4" borderId="18" xfId="0" applyFont="1" applyFill="1" applyBorder="1"/>
    <xf numFmtId="0" fontId="11" fillId="4" borderId="18" xfId="0" applyFont="1" applyFill="1" applyBorder="1"/>
    <xf numFmtId="0" fontId="9" fillId="4" borderId="18" xfId="0" applyFont="1" applyFill="1" applyBorder="1" applyAlignment="1">
      <alignment horizontal="center" vertical="center"/>
    </xf>
    <xf numFmtId="4" fontId="11" fillId="4" borderId="18" xfId="0" applyNumberFormat="1" applyFont="1" applyFill="1" applyBorder="1"/>
    <xf numFmtId="3" fontId="10" fillId="4" borderId="18" xfId="0" applyNumberFormat="1" applyFont="1" applyFill="1" applyBorder="1"/>
    <xf numFmtId="9" fontId="10" fillId="4" borderId="18" xfId="1" applyFont="1" applyFill="1" applyBorder="1" applyAlignment="1">
      <alignment horizontal="center"/>
    </xf>
    <xf numFmtId="4" fontId="7" fillId="2" borderId="18" xfId="0" applyNumberFormat="1" applyFont="1" applyFill="1" applyBorder="1" applyAlignment="1">
      <alignment horizontal="right"/>
    </xf>
    <xf numFmtId="4" fontId="7" fillId="2" borderId="0" xfId="0" applyNumberFormat="1" applyFont="1" applyFill="1" applyAlignment="1">
      <alignment horizontal="right"/>
    </xf>
    <xf numFmtId="0" fontId="8" fillId="2" borderId="0" xfId="0" applyFont="1" applyFill="1" applyAlignment="1">
      <alignment horizontal="right"/>
    </xf>
    <xf numFmtId="0" fontId="7" fillId="2" borderId="0" xfId="0" applyFont="1" applyFill="1" applyAlignment="1">
      <alignment horizontal="right" vertical="center" wrapText="1"/>
    </xf>
    <xf numFmtId="0" fontId="9" fillId="4" borderId="20" xfId="0" applyFont="1" applyFill="1" applyBorder="1"/>
    <xf numFmtId="164" fontId="9" fillId="4" borderId="20" xfId="0" applyNumberFormat="1" applyFont="1" applyFill="1" applyBorder="1"/>
    <xf numFmtId="3" fontId="9" fillId="4" borderId="20" xfId="0" applyNumberFormat="1" applyFont="1" applyFill="1" applyBorder="1"/>
    <xf numFmtId="0" fontId="37" fillId="4" borderId="0" xfId="2" applyFont="1" applyFill="1" applyBorder="1" applyAlignment="1">
      <alignment vertical="top" wrapText="1"/>
    </xf>
    <xf numFmtId="0" fontId="38" fillId="4" borderId="20" xfId="0" applyFont="1" applyFill="1" applyBorder="1" applyAlignment="1">
      <alignment horizontal="right" vertical="top"/>
    </xf>
    <xf numFmtId="0" fontId="37" fillId="4" borderId="20" xfId="2" applyFont="1" applyFill="1" applyBorder="1" applyAlignment="1">
      <alignment vertical="top" wrapText="1"/>
    </xf>
    <xf numFmtId="0" fontId="1" fillId="0" borderId="0" xfId="3"/>
    <xf numFmtId="165" fontId="5" fillId="4" borderId="0" xfId="3" applyNumberFormat="1" applyFont="1" applyFill="1" applyAlignment="1" applyProtection="1">
      <alignment horizontal="center"/>
      <protection hidden="1"/>
    </xf>
    <xf numFmtId="167" fontId="10" fillId="6" borderId="0" xfId="4" applyNumberFormat="1" applyFont="1" applyFill="1" applyAlignment="1">
      <alignment horizontal="center"/>
    </xf>
    <xf numFmtId="0" fontId="10" fillId="6" borderId="0" xfId="4" applyNumberFormat="1" applyFont="1" applyFill="1" applyBorder="1" applyAlignment="1">
      <alignment horizontal="center"/>
    </xf>
    <xf numFmtId="168" fontId="43" fillId="0" borderId="0" xfId="3" applyNumberFormat="1" applyFont="1" applyAlignment="1">
      <alignment horizontal="right"/>
    </xf>
    <xf numFmtId="0" fontId="5" fillId="2" borderId="22" xfId="3" applyFont="1" applyFill="1" applyBorder="1"/>
    <xf numFmtId="0" fontId="7" fillId="2" borderId="23" xfId="3" applyFont="1" applyFill="1" applyBorder="1"/>
    <xf numFmtId="0" fontId="41" fillId="0" borderId="0" xfId="3" applyFont="1"/>
    <xf numFmtId="3" fontId="10" fillId="6" borderId="0" xfId="3" applyNumberFormat="1" applyFont="1" applyFill="1" applyAlignment="1">
      <alignment horizontal="center"/>
    </xf>
    <xf numFmtId="0" fontId="5" fillId="0" borderId="0" xfId="3" applyFont="1" applyAlignment="1">
      <alignment horizontal="left" indent="1"/>
    </xf>
    <xf numFmtId="0" fontId="3" fillId="0" borderId="0" xfId="3" applyFont="1"/>
    <xf numFmtId="0" fontId="5" fillId="0" borderId="0" xfId="3" applyFont="1"/>
    <xf numFmtId="166" fontId="5" fillId="0" borderId="0" xfId="3" applyNumberFormat="1" applyFont="1"/>
    <xf numFmtId="0" fontId="9" fillId="0" borderId="0" xfId="3" applyFont="1"/>
    <xf numFmtId="0" fontId="1" fillId="0" borderId="0" xfId="3" applyAlignment="1">
      <alignment horizontal="center"/>
    </xf>
    <xf numFmtId="4" fontId="7" fillId="2" borderId="19" xfId="3" applyNumberFormat="1" applyFont="1" applyFill="1" applyBorder="1" applyAlignment="1">
      <alignment horizontal="right"/>
    </xf>
    <xf numFmtId="9" fontId="10" fillId="4" borderId="19" xfId="4" applyFont="1" applyFill="1" applyBorder="1" applyAlignment="1">
      <alignment horizontal="center"/>
    </xf>
    <xf numFmtId="3" fontId="10" fillId="4" borderId="19" xfId="3" applyNumberFormat="1" applyFont="1" applyFill="1" applyBorder="1"/>
    <xf numFmtId="0" fontId="11" fillId="4" borderId="19" xfId="3" applyFont="1" applyFill="1" applyBorder="1"/>
    <xf numFmtId="4" fontId="11" fillId="4" borderId="19" xfId="3" applyNumberFormat="1" applyFont="1" applyFill="1" applyBorder="1"/>
    <xf numFmtId="0" fontId="9" fillId="4" borderId="19" xfId="3" applyFont="1" applyFill="1" applyBorder="1" applyAlignment="1">
      <alignment horizontal="center" vertical="center"/>
    </xf>
    <xf numFmtId="0" fontId="10" fillId="4" borderId="19" xfId="3" applyFont="1" applyFill="1" applyBorder="1"/>
    <xf numFmtId="0" fontId="9" fillId="4" borderId="0" xfId="3" applyFont="1" applyFill="1"/>
    <xf numFmtId="169" fontId="42" fillId="4" borderId="19" xfId="3" applyNumberFormat="1" applyFont="1" applyFill="1" applyBorder="1"/>
    <xf numFmtId="0" fontId="42" fillId="4" borderId="19" xfId="3" applyFont="1" applyFill="1" applyBorder="1"/>
    <xf numFmtId="4" fontId="5" fillId="4" borderId="0" xfId="3" applyNumberFormat="1" applyFont="1" applyFill="1" applyAlignment="1">
      <alignment horizontal="right"/>
    </xf>
    <xf numFmtId="9" fontId="11" fillId="4" borderId="0" xfId="4" applyFont="1" applyFill="1" applyAlignment="1">
      <alignment horizontal="center"/>
    </xf>
    <xf numFmtId="3" fontId="5" fillId="4" borderId="0" xfId="3" applyNumberFormat="1" applyFont="1" applyFill="1"/>
    <xf numFmtId="0" fontId="19" fillId="4" borderId="0" xfId="3" applyFont="1" applyFill="1" applyAlignment="1">
      <alignment horizontal="center"/>
    </xf>
    <xf numFmtId="9" fontId="5" fillId="4" borderId="0" xfId="3" applyNumberFormat="1" applyFont="1" applyFill="1" applyAlignment="1">
      <alignment horizontal="center"/>
    </xf>
    <xf numFmtId="0" fontId="13" fillId="4" borderId="0" xfId="3" applyFont="1" applyFill="1"/>
    <xf numFmtId="0" fontId="5" fillId="4" borderId="0" xfId="3" applyFont="1" applyFill="1" applyAlignment="1">
      <alignment horizontal="center" vertical="center"/>
    </xf>
    <xf numFmtId="0" fontId="5" fillId="4" borderId="0" xfId="3" applyFont="1" applyFill="1" applyAlignment="1">
      <alignment horizontal="left" indent="1"/>
    </xf>
    <xf numFmtId="0" fontId="1" fillId="4" borderId="0" xfId="3" applyFill="1"/>
    <xf numFmtId="4" fontId="9" fillId="4" borderId="1" xfId="3" applyNumberFormat="1" applyFont="1" applyFill="1" applyBorder="1" applyAlignment="1">
      <alignment horizontal="right"/>
    </xf>
    <xf numFmtId="9" fontId="10" fillId="4" borderId="1" xfId="4" applyFont="1" applyFill="1" applyBorder="1" applyAlignment="1">
      <alignment horizontal="center"/>
    </xf>
    <xf numFmtId="3" fontId="9" fillId="4" borderId="1" xfId="3" applyNumberFormat="1" applyFont="1" applyFill="1" applyBorder="1"/>
    <xf numFmtId="0" fontId="5" fillId="4" borderId="1" xfId="3" applyFont="1" applyFill="1" applyBorder="1" applyAlignment="1">
      <alignment horizontal="center"/>
    </xf>
    <xf numFmtId="9" fontId="11" fillId="5" borderId="4" xfId="4" applyFont="1" applyFill="1" applyBorder="1" applyAlignment="1" applyProtection="1">
      <alignment horizontal="center"/>
      <protection locked="0"/>
    </xf>
    <xf numFmtId="0" fontId="9" fillId="4" borderId="1" xfId="3" applyFont="1" applyFill="1" applyBorder="1"/>
    <xf numFmtId="0" fontId="9" fillId="4" borderId="1" xfId="3" applyFont="1" applyFill="1" applyBorder="1" applyAlignment="1">
      <alignment horizontal="center" vertical="center"/>
    </xf>
    <xf numFmtId="0" fontId="5" fillId="4" borderId="1" xfId="3" applyFont="1" applyFill="1" applyBorder="1"/>
    <xf numFmtId="9" fontId="5" fillId="5" borderId="3" xfId="3" applyNumberFormat="1" applyFont="1" applyFill="1" applyBorder="1" applyAlignment="1">
      <alignment horizontal="right"/>
    </xf>
    <xf numFmtId="0" fontId="11" fillId="5" borderId="4" xfId="4" applyNumberFormat="1" applyFont="1" applyFill="1" applyBorder="1" applyAlignment="1" applyProtection="1">
      <alignment horizontal="center"/>
      <protection locked="0"/>
    </xf>
    <xf numFmtId="4" fontId="9" fillId="4" borderId="1" xfId="3" applyNumberFormat="1" applyFont="1" applyFill="1" applyBorder="1" applyAlignment="1">
      <alignment horizontal="center"/>
    </xf>
    <xf numFmtId="3" fontId="9" fillId="4" borderId="0" xfId="3" applyNumberFormat="1" applyFont="1" applyFill="1"/>
    <xf numFmtId="0" fontId="9" fillId="4" borderId="0" xfId="3" applyFont="1" applyFill="1" applyAlignment="1">
      <alignment horizontal="center"/>
    </xf>
    <xf numFmtId="0" fontId="5" fillId="4" borderId="0" xfId="3" applyFont="1" applyFill="1"/>
    <xf numFmtId="0" fontId="3" fillId="4" borderId="0" xfId="3" applyFont="1" applyFill="1"/>
    <xf numFmtId="167" fontId="5" fillId="5" borderId="3" xfId="3" applyNumberFormat="1" applyFont="1" applyFill="1" applyBorder="1" applyAlignment="1">
      <alignment horizontal="right"/>
    </xf>
    <xf numFmtId="2" fontId="44" fillId="5" borderId="3" xfId="3" applyNumberFormat="1" applyFont="1" applyFill="1" applyBorder="1" applyAlignment="1">
      <alignment horizontal="center"/>
    </xf>
    <xf numFmtId="9" fontId="44" fillId="4" borderId="0" xfId="3" applyNumberFormat="1" applyFont="1" applyFill="1" applyAlignment="1">
      <alignment horizontal="center"/>
    </xf>
    <xf numFmtId="0" fontId="45" fillId="4" borderId="0" xfId="3" applyFont="1" applyFill="1"/>
    <xf numFmtId="0" fontId="44" fillId="4" borderId="0" xfId="3" applyFont="1" applyFill="1" applyAlignment="1">
      <alignment horizontal="center" vertical="center"/>
    </xf>
    <xf numFmtId="0" fontId="44" fillId="4" borderId="0" xfId="3" applyFont="1" applyFill="1" applyAlignment="1">
      <alignment horizontal="left" indent="2"/>
    </xf>
    <xf numFmtId="2" fontId="19" fillId="4" borderId="0" xfId="3" applyNumberFormat="1" applyFont="1" applyFill="1" applyAlignment="1">
      <alignment horizontal="center"/>
    </xf>
    <xf numFmtId="1" fontId="5" fillId="5" borderId="3" xfId="3" applyNumberFormat="1" applyFont="1" applyFill="1" applyBorder="1" applyAlignment="1">
      <alignment horizontal="right"/>
    </xf>
    <xf numFmtId="170" fontId="5" fillId="5" borderId="3" xfId="3" applyNumberFormat="1" applyFont="1" applyFill="1" applyBorder="1" applyAlignment="1">
      <alignment horizontal="right"/>
    </xf>
    <xf numFmtId="1" fontId="5" fillId="5" borderId="3" xfId="3" applyNumberFormat="1" applyFont="1" applyFill="1" applyBorder="1" applyAlignment="1">
      <alignment horizontal="center"/>
    </xf>
    <xf numFmtId="0" fontId="7" fillId="2" borderId="0" xfId="3" applyFont="1" applyFill="1"/>
    <xf numFmtId="4" fontId="7" fillId="2" borderId="0" xfId="3" applyNumberFormat="1" applyFont="1" applyFill="1" applyAlignment="1">
      <alignment horizontal="center"/>
    </xf>
    <xf numFmtId="0" fontId="20" fillId="0" borderId="0" xfId="3" applyFont="1"/>
    <xf numFmtId="0" fontId="9" fillId="4" borderId="20" xfId="3" applyFont="1" applyFill="1" applyBorder="1"/>
    <xf numFmtId="4" fontId="46" fillId="4" borderId="1" xfId="3" applyNumberFormat="1" applyFont="1" applyFill="1" applyBorder="1" applyAlignment="1">
      <alignment horizontal="right"/>
    </xf>
    <xf numFmtId="9" fontId="47" fillId="4" borderId="1" xfId="4" applyFont="1" applyFill="1" applyBorder="1" applyAlignment="1">
      <alignment horizontal="center"/>
    </xf>
    <xf numFmtId="1" fontId="36" fillId="5" borderId="3" xfId="3" applyNumberFormat="1" applyFont="1" applyFill="1" applyBorder="1" applyAlignment="1">
      <alignment horizontal="right"/>
    </xf>
    <xf numFmtId="2" fontId="5" fillId="5" borderId="3" xfId="3" applyNumberFormat="1" applyFont="1" applyFill="1" applyBorder="1" applyAlignment="1">
      <alignment horizontal="right"/>
    </xf>
    <xf numFmtId="0" fontId="7" fillId="2" borderId="0" xfId="3" applyFont="1" applyFill="1" applyAlignment="1">
      <alignment horizontal="right" vertical="center" wrapText="1"/>
    </xf>
    <xf numFmtId="4" fontId="7" fillId="2" borderId="0" xfId="3" applyNumberFormat="1" applyFont="1" applyFill="1" applyAlignment="1">
      <alignment horizontal="center" wrapText="1"/>
    </xf>
    <xf numFmtId="0" fontId="8" fillId="2" borderId="0" xfId="3" applyFont="1" applyFill="1" applyAlignment="1">
      <alignment horizontal="center"/>
    </xf>
    <xf numFmtId="0" fontId="8" fillId="2" borderId="0" xfId="3" applyFont="1" applyFill="1"/>
    <xf numFmtId="164" fontId="3" fillId="0" borderId="0" xfId="3" applyNumberFormat="1" applyFont="1"/>
    <xf numFmtId="0" fontId="2" fillId="0" borderId="0" xfId="3" applyFont="1" applyAlignment="1">
      <alignment horizontal="center"/>
    </xf>
    <xf numFmtId="0" fontId="2" fillId="2" borderId="0" xfId="3" applyFont="1" applyFill="1" applyAlignment="1">
      <alignment horizontal="center"/>
    </xf>
    <xf numFmtId="0" fontId="4" fillId="2" borderId="0" xfId="3" applyFont="1" applyFill="1" applyAlignment="1">
      <alignment horizontal="left" vertical="center"/>
    </xf>
    <xf numFmtId="0" fontId="4" fillId="2" borderId="0" xfId="3" applyFont="1" applyFill="1" applyAlignment="1">
      <alignment horizontal="left"/>
    </xf>
    <xf numFmtId="0" fontId="2" fillId="2" borderId="0" xfId="3" applyFont="1" applyFill="1" applyAlignment="1">
      <alignment horizontal="left"/>
    </xf>
    <xf numFmtId="0" fontId="1" fillId="0" borderId="24" xfId="3" applyBorder="1"/>
    <xf numFmtId="4" fontId="7" fillId="2" borderId="25" xfId="3" applyNumberFormat="1" applyFont="1" applyFill="1" applyBorder="1" applyAlignment="1">
      <alignment horizontal="right"/>
    </xf>
    <xf numFmtId="4" fontId="5" fillId="4" borderId="26" xfId="3" applyNumberFormat="1" applyFont="1" applyFill="1" applyBorder="1" applyAlignment="1">
      <alignment horizontal="right"/>
    </xf>
    <xf numFmtId="4" fontId="9" fillId="4" borderId="27" xfId="3" applyNumberFormat="1" applyFont="1" applyFill="1" applyBorder="1" applyAlignment="1">
      <alignment horizontal="right"/>
    </xf>
    <xf numFmtId="4" fontId="46" fillId="4" borderId="27" xfId="3" applyNumberFormat="1" applyFont="1" applyFill="1" applyBorder="1" applyAlignment="1">
      <alignment horizontal="right"/>
    </xf>
    <xf numFmtId="4" fontId="7" fillId="2" borderId="26" xfId="3" applyNumberFormat="1" applyFont="1" applyFill="1" applyBorder="1" applyAlignment="1">
      <alignment horizontal="center" wrapText="1"/>
    </xf>
    <xf numFmtId="9" fontId="0" fillId="0" borderId="0" xfId="4" applyFont="1" applyAlignment="1">
      <alignment horizontal="center"/>
    </xf>
    <xf numFmtId="9" fontId="1" fillId="0" borderId="0" xfId="3" applyNumberFormat="1"/>
    <xf numFmtId="9" fontId="0" fillId="0" borderId="26" xfId="4" applyFont="1" applyBorder="1" applyAlignment="1">
      <alignment horizontal="center"/>
    </xf>
    <xf numFmtId="9" fontId="0" fillId="11" borderId="0" xfId="4" applyFont="1" applyFill="1" applyAlignment="1">
      <alignment horizontal="center"/>
    </xf>
    <xf numFmtId="9" fontId="1" fillId="12" borderId="0" xfId="3" applyNumberFormat="1" applyFill="1" applyAlignment="1">
      <alignment horizontal="center"/>
    </xf>
    <xf numFmtId="9" fontId="0" fillId="12" borderId="0" xfId="4" applyFont="1" applyFill="1" applyAlignment="1">
      <alignment horizontal="center"/>
    </xf>
    <xf numFmtId="9" fontId="0" fillId="12" borderId="26" xfId="4" applyFont="1" applyFill="1" applyBorder="1" applyAlignment="1">
      <alignment horizontal="center"/>
    </xf>
    <xf numFmtId="0" fontId="1" fillId="12" borderId="0" xfId="3" applyFill="1"/>
    <xf numFmtId="9" fontId="0" fillId="13" borderId="0" xfId="4" applyFont="1" applyFill="1" applyAlignment="1">
      <alignment horizontal="center"/>
    </xf>
    <xf numFmtId="9" fontId="0" fillId="13" borderId="26" xfId="4" applyFont="1" applyFill="1" applyBorder="1" applyAlignment="1">
      <alignment horizontal="center"/>
    </xf>
    <xf numFmtId="0" fontId="1" fillId="13" borderId="0" xfId="3" applyFill="1"/>
    <xf numFmtId="0" fontId="1" fillId="14" borderId="0" xfId="3" applyFill="1" applyAlignment="1">
      <alignment horizontal="center"/>
    </xf>
    <xf numFmtId="0" fontId="1" fillId="11" borderId="0" xfId="3" applyFill="1" applyAlignment="1">
      <alignment horizontal="center"/>
    </xf>
    <xf numFmtId="0" fontId="1" fillId="14" borderId="26" xfId="3" applyFill="1" applyBorder="1" applyAlignment="1">
      <alignment horizontal="center"/>
    </xf>
    <xf numFmtId="0" fontId="1" fillId="14" borderId="0" xfId="3" applyFill="1"/>
    <xf numFmtId="0" fontId="1" fillId="0" borderId="28" xfId="3" applyBorder="1" applyAlignment="1">
      <alignment horizontal="center"/>
    </xf>
    <xf numFmtId="167" fontId="48" fillId="15" borderId="3" xfId="4" applyNumberFormat="1" applyFont="1" applyFill="1" applyBorder="1" applyAlignment="1">
      <alignment horizontal="center" vertical="center"/>
    </xf>
    <xf numFmtId="0" fontId="48" fillId="15" borderId="3" xfId="4" applyNumberFormat="1" applyFont="1" applyFill="1" applyBorder="1" applyAlignment="1">
      <alignment horizontal="center" vertical="center"/>
    </xf>
    <xf numFmtId="2" fontId="48" fillId="15" borderId="3" xfId="4" applyNumberFormat="1" applyFont="1" applyFill="1" applyBorder="1" applyAlignment="1">
      <alignment horizontal="center" vertical="center"/>
    </xf>
    <xf numFmtId="2" fontId="1" fillId="4" borderId="0" xfId="3" applyNumberFormat="1" applyFill="1"/>
    <xf numFmtId="10" fontId="5" fillId="5" borderId="3" xfId="3" applyNumberFormat="1" applyFont="1" applyFill="1" applyBorder="1" applyAlignment="1">
      <alignment horizontal="right"/>
    </xf>
    <xf numFmtId="169" fontId="1" fillId="4" borderId="0" xfId="3" applyNumberFormat="1" applyFill="1"/>
    <xf numFmtId="169" fontId="5" fillId="5" borderId="3" xfId="3" applyNumberFormat="1" applyFont="1" applyFill="1" applyBorder="1" applyAlignment="1">
      <alignment horizontal="right"/>
    </xf>
    <xf numFmtId="3" fontId="46" fillId="4" borderId="1" xfId="3" applyNumberFormat="1" applyFont="1" applyFill="1" applyBorder="1"/>
    <xf numFmtId="168" fontId="50" fillId="0" borderId="0" xfId="0" applyNumberFormat="1" applyFont="1" applyAlignment="1">
      <alignment horizontal="right"/>
    </xf>
    <xf numFmtId="9" fontId="10" fillId="6" borderId="0" xfId="1" applyFont="1" applyFill="1" applyBorder="1" applyAlignment="1">
      <alignment horizontal="center"/>
    </xf>
    <xf numFmtId="3" fontId="10" fillId="6" borderId="0" xfId="0" applyNumberFormat="1" applyFont="1" applyFill="1" applyAlignment="1">
      <alignment horizontal="center"/>
    </xf>
    <xf numFmtId="165" fontId="5" fillId="4" borderId="0" xfId="0" applyNumberFormat="1" applyFont="1" applyFill="1" applyAlignment="1" applyProtection="1">
      <alignment horizontal="center"/>
      <protection hidden="1"/>
    </xf>
    <xf numFmtId="165" fontId="5" fillId="2" borderId="0" xfId="0" applyNumberFormat="1" applyFont="1" applyFill="1" applyAlignment="1" applyProtection="1">
      <alignment horizontal="center"/>
      <protection hidden="1"/>
    </xf>
    <xf numFmtId="0" fontId="7" fillId="2" borderId="23" xfId="0" applyFont="1" applyFill="1" applyBorder="1"/>
    <xf numFmtId="0" fontId="5" fillId="2" borderId="22" xfId="0" applyFont="1" applyFill="1" applyBorder="1"/>
    <xf numFmtId="0" fontId="17" fillId="2" borderId="22" xfId="0" applyFont="1" applyFill="1" applyBorder="1"/>
    <xf numFmtId="3" fontId="5" fillId="2" borderId="22" xfId="0" applyNumberFormat="1" applyFont="1" applyFill="1" applyBorder="1"/>
    <xf numFmtId="0" fontId="5" fillId="2" borderId="30" xfId="0" applyFont="1" applyFill="1" applyBorder="1"/>
    <xf numFmtId="0" fontId="5" fillId="2" borderId="21" xfId="0" applyFont="1" applyFill="1" applyBorder="1"/>
    <xf numFmtId="0" fontId="17" fillId="2" borderId="21" xfId="0" applyFont="1" applyFill="1" applyBorder="1" applyAlignment="1">
      <alignment horizontal="center"/>
    </xf>
    <xf numFmtId="0" fontId="9" fillId="2" borderId="21" xfId="0" applyFont="1" applyFill="1" applyBorder="1"/>
    <xf numFmtId="0" fontId="51" fillId="2" borderId="31" xfId="0" applyFont="1" applyFill="1" applyBorder="1"/>
    <xf numFmtId="3" fontId="10" fillId="6" borderId="19" xfId="0" applyNumberFormat="1" applyFont="1" applyFill="1" applyBorder="1" applyAlignment="1">
      <alignment horizontal="center"/>
    </xf>
    <xf numFmtId="0" fontId="11" fillId="4" borderId="18" xfId="0" applyFont="1" applyFill="1" applyBorder="1" applyAlignment="1">
      <alignment horizontal="center"/>
    </xf>
    <xf numFmtId="2" fontId="11" fillId="7" borderId="0" xfId="1" applyNumberFormat="1" applyFill="1" applyAlignment="1">
      <alignment horizontal="center"/>
    </xf>
    <xf numFmtId="4" fontId="1" fillId="0" borderId="0" xfId="3" applyNumberFormat="1"/>
    <xf numFmtId="0" fontId="17" fillId="2" borderId="22" xfId="3" applyFont="1" applyFill="1" applyBorder="1" applyAlignment="1">
      <alignment horizontal="center"/>
    </xf>
    <xf numFmtId="0" fontId="17" fillId="2" borderId="21" xfId="3" applyFont="1" applyFill="1" applyBorder="1" applyAlignment="1">
      <alignment horizontal="center" vertical="center" wrapText="1"/>
    </xf>
    <xf numFmtId="0" fontId="36" fillId="0" borderId="0" xfId="0" applyFont="1" applyBorder="1" applyAlignment="1">
      <alignment horizontal="left" vertical="top" wrapText="1"/>
    </xf>
    <xf numFmtId="0" fontId="36" fillId="0" borderId="0" xfId="0" applyFont="1" applyAlignment="1">
      <alignment horizontal="left" vertical="top" wrapText="1"/>
    </xf>
    <xf numFmtId="0" fontId="36" fillId="4" borderId="0" xfId="0" applyFont="1" applyFill="1" applyAlignment="1">
      <alignment vertical="top" wrapText="1"/>
    </xf>
    <xf numFmtId="0" fontId="36" fillId="4" borderId="0" xfId="0" applyFont="1" applyFill="1" applyAlignment="1">
      <alignment horizontal="left" vertical="top" wrapText="1"/>
    </xf>
    <xf numFmtId="0" fontId="5" fillId="4" borderId="0" xfId="0" applyFont="1" applyFill="1" applyAlignment="1">
      <alignment vertical="top" wrapText="1"/>
    </xf>
    <xf numFmtId="0" fontId="37" fillId="4" borderId="0" xfId="2" applyFont="1" applyFill="1" applyBorder="1" applyAlignment="1">
      <alignment vertical="top" wrapText="1"/>
    </xf>
    <xf numFmtId="0" fontId="17" fillId="2" borderId="0" xfId="3" applyFont="1" applyFill="1" applyAlignment="1">
      <alignment horizontal="center" vertical="center" wrapText="1"/>
    </xf>
    <xf numFmtId="0" fontId="17" fillId="2" borderId="29" xfId="3" applyFont="1" applyFill="1" applyBorder="1" applyAlignment="1">
      <alignment horizontal="center" vertical="center" wrapText="1"/>
    </xf>
  </cellXfs>
  <cellStyles count="5">
    <cellStyle name="Hyperlink" xfId="2" builtinId="8"/>
    <cellStyle name="Normal" xfId="0" builtinId="0"/>
    <cellStyle name="Normal 2" xfId="3"/>
    <cellStyle name="Percent" xfId="1" builtinId="5"/>
    <cellStyle name="Percent 2" xfId="4"/>
  </cellStyles>
  <dxfs count="18">
    <dxf>
      <fill>
        <patternFill>
          <bgColor theme="0" tint="-4.9989318521683403E-2"/>
        </patternFill>
      </fill>
      <border>
        <left style="dashed">
          <color theme="9"/>
        </left>
        <right style="dashed">
          <color theme="9"/>
        </right>
        <top/>
        <bottom/>
      </border>
    </dxf>
    <dxf>
      <fill>
        <patternFill>
          <bgColor theme="0" tint="-4.9989318521683403E-2"/>
        </patternFill>
      </fill>
      <border>
        <left/>
        <right/>
        <top style="dashed">
          <color theme="9"/>
        </top>
        <bottom style="dashed">
          <color theme="9"/>
        </bottom>
        <vertical/>
        <horizontal/>
      </border>
    </dxf>
    <dxf>
      <fill>
        <patternFill>
          <bgColor theme="0" tint="-0.14996795556505021"/>
        </patternFill>
      </fill>
    </dxf>
    <dxf>
      <fill>
        <patternFill>
          <bgColor theme="0" tint="-4.9989318521683403E-2"/>
        </patternFill>
      </fill>
      <border>
        <left style="dashed">
          <color theme="9"/>
        </left>
        <right style="dashed">
          <color theme="9"/>
        </right>
        <top/>
        <bottom/>
      </border>
    </dxf>
    <dxf>
      <fill>
        <patternFill>
          <bgColor theme="0" tint="-4.9989318521683403E-2"/>
        </patternFill>
      </fill>
      <border>
        <left/>
        <right/>
        <top style="dashed">
          <color theme="9"/>
        </top>
        <bottom style="dashed">
          <color theme="9"/>
        </bottom>
        <vertical/>
        <horizontal/>
      </border>
    </dxf>
    <dxf>
      <fill>
        <patternFill>
          <bgColor theme="0" tint="-0.14996795556505021"/>
        </patternFill>
      </fill>
    </dxf>
    <dxf>
      <fill>
        <patternFill>
          <bgColor theme="0" tint="-4.9989318521683403E-2"/>
        </patternFill>
      </fill>
      <border>
        <left style="dashed">
          <color theme="9"/>
        </left>
        <right style="dashed">
          <color theme="9"/>
        </right>
        <top/>
        <bottom/>
      </border>
    </dxf>
    <dxf>
      <fill>
        <patternFill>
          <bgColor theme="0" tint="-4.9989318521683403E-2"/>
        </patternFill>
      </fill>
      <border>
        <left/>
        <right/>
        <top style="dashed">
          <color theme="9"/>
        </top>
        <bottom style="dashed">
          <color theme="9"/>
        </bottom>
        <vertical/>
        <horizontal/>
      </border>
    </dxf>
    <dxf>
      <fill>
        <patternFill>
          <bgColor theme="0" tint="-0.14996795556505021"/>
        </patternFill>
      </fill>
    </dxf>
    <dxf>
      <fill>
        <patternFill>
          <bgColor rgb="FFFB943F"/>
        </patternFill>
      </fill>
    </dxf>
    <dxf>
      <fill>
        <patternFill>
          <bgColor theme="9" tint="0.59996337778862885"/>
        </patternFill>
      </fill>
    </dxf>
    <dxf>
      <fill>
        <patternFill>
          <bgColor rgb="FFFB943F"/>
        </patternFill>
      </fill>
    </dxf>
    <dxf>
      <fill>
        <patternFill>
          <bgColor theme="9" tint="0.59996337778862885"/>
        </patternFill>
      </fill>
    </dxf>
    <dxf>
      <fill>
        <patternFill>
          <bgColor rgb="FFFB943F"/>
        </patternFill>
      </fill>
    </dxf>
    <dxf>
      <fill>
        <patternFill>
          <bgColor theme="9" tint="0.59996337778862885"/>
        </patternFill>
      </fill>
    </dxf>
    <dxf>
      <fill>
        <patternFill>
          <bgColor theme="0" tint="-4.9989318521683403E-2"/>
        </patternFill>
      </fill>
      <border>
        <left style="dashed">
          <color rgb="FFF47032"/>
        </left>
        <right style="dashed">
          <color rgb="FFF47032"/>
        </right>
        <top/>
        <bottom/>
      </border>
    </dxf>
    <dxf>
      <fill>
        <patternFill>
          <bgColor theme="0" tint="-4.9989318521683403E-2"/>
        </patternFill>
      </fill>
      <border>
        <left/>
        <right/>
        <top style="dashed">
          <color rgb="FFF47032"/>
        </top>
        <bottom style="dashed">
          <color rgb="FFF47032"/>
        </bottom>
        <vertical/>
        <horizontal/>
      </border>
    </dxf>
    <dxf>
      <fill>
        <patternFill>
          <bgColor theme="0" tint="-0.14996795556505021"/>
        </patternFill>
      </fill>
    </dxf>
  </dxfs>
  <tableStyles count="0" defaultTableStyle="TableStyleMedium2" defaultPivotStyle="PivotStyleLight16"/>
  <colors>
    <mruColors>
      <color rgb="FFF470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9963-4378-A443-D106EAF1869E}"/>
            </c:ext>
          </c:extLst>
        </c:ser>
        <c:dLbls>
          <c:showLegendKey val="0"/>
          <c:showVal val="0"/>
          <c:showCatName val="0"/>
          <c:showSerName val="0"/>
          <c:showPercent val="0"/>
          <c:showBubbleSize val="0"/>
        </c:dLbls>
        <c:gapWidth val="150"/>
        <c:axId val="61592320"/>
        <c:axId val="61593856"/>
      </c:barChart>
      <c:catAx>
        <c:axId val="61592320"/>
        <c:scaling>
          <c:orientation val="minMax"/>
        </c:scaling>
        <c:delete val="0"/>
        <c:axPos val="b"/>
        <c:numFmt formatCode="General" sourceLinked="1"/>
        <c:majorTickMark val="out"/>
        <c:minorTickMark val="none"/>
        <c:tickLblPos val="nextTo"/>
        <c:crossAx val="61593856"/>
        <c:crosses val="autoZero"/>
        <c:auto val="1"/>
        <c:lblAlgn val="ctr"/>
        <c:lblOffset val="100"/>
        <c:noMultiLvlLbl val="0"/>
      </c:catAx>
      <c:valAx>
        <c:axId val="61593856"/>
        <c:scaling>
          <c:orientation val="minMax"/>
        </c:scaling>
        <c:delete val="0"/>
        <c:axPos val="l"/>
        <c:majorGridlines/>
        <c:numFmt formatCode="General" sourceLinked="1"/>
        <c:majorTickMark val="out"/>
        <c:minorTickMark val="none"/>
        <c:tickLblPos val="nextTo"/>
        <c:crossAx val="6159232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Abhängigkeit des Stundensatzes von der Projektdauer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2"/>
            </a:solidFill>
            <a:ln>
              <a:noFill/>
            </a:ln>
            <a:effectLst/>
          </c:spPr>
          <c:invertIfNegative val="0"/>
          <c:cat>
            <c:numRef>
              <c:f>Stundensatz!$O$31:$T$31</c:f>
              <c:numCache>
                <c:formatCode>General</c:formatCode>
                <c:ptCount val="6"/>
                <c:pt idx="0">
                  <c:v>15</c:v>
                </c:pt>
                <c:pt idx="1">
                  <c:v>25</c:v>
                </c:pt>
                <c:pt idx="2">
                  <c:v>35</c:v>
                </c:pt>
                <c:pt idx="3">
                  <c:v>45</c:v>
                </c:pt>
                <c:pt idx="4">
                  <c:v>55</c:v>
                </c:pt>
                <c:pt idx="5">
                  <c:v>65</c:v>
                </c:pt>
              </c:numCache>
            </c:numRef>
          </c:cat>
          <c:val>
            <c:numRef>
              <c:f>Stundensatz!$O$33:$T$33</c:f>
              <c:numCache>
                <c:formatCode>#,##0.0</c:formatCode>
                <c:ptCount val="6"/>
                <c:pt idx="0">
                  <c:v>231.02333333333334</c:v>
                </c:pt>
                <c:pt idx="1">
                  <c:v>186.08599999999998</c:v>
                </c:pt>
                <c:pt idx="2">
                  <c:v>166.82714285714286</c:v>
                </c:pt>
                <c:pt idx="3">
                  <c:v>156.12777777777779</c:v>
                </c:pt>
                <c:pt idx="4">
                  <c:v>149.3190909090909</c:v>
                </c:pt>
                <c:pt idx="5">
                  <c:v>144.60538461538462</c:v>
                </c:pt>
              </c:numCache>
            </c:numRef>
          </c:val>
          <c:extLst>
            <c:ext xmlns:c16="http://schemas.microsoft.com/office/drawing/2014/chart" uri="{C3380CC4-5D6E-409C-BE32-E72D297353CC}">
              <c16:uniqueId val="{00000000-248B-44FF-B4FD-975181DF7876}"/>
            </c:ext>
          </c:extLst>
        </c:ser>
        <c:dLbls>
          <c:showLegendKey val="0"/>
          <c:showVal val="0"/>
          <c:showCatName val="0"/>
          <c:showSerName val="0"/>
          <c:showPercent val="0"/>
          <c:showBubbleSize val="0"/>
        </c:dLbls>
        <c:gapWidth val="219"/>
        <c:overlap val="-27"/>
        <c:axId val="1768321824"/>
        <c:axId val="1759793568"/>
      </c:barChart>
      <c:catAx>
        <c:axId val="1768321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Projektdauer,</a:t>
                </a:r>
                <a:r>
                  <a:rPr lang="en-US" baseline="0"/>
                  <a:t> in Stunden</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59793568"/>
        <c:crosses val="autoZero"/>
        <c:auto val="1"/>
        <c:lblAlgn val="ctr"/>
        <c:lblOffset val="100"/>
        <c:noMultiLvlLbl val="0"/>
      </c:catAx>
      <c:valAx>
        <c:axId val="1759793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Stundensatz,</a:t>
                </a:r>
                <a:r>
                  <a:rPr lang="de-CH" baseline="0"/>
                  <a:t> in CHF</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68321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Abhängigkeit des Stundensatzes von der Anzahl Klicks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2"/>
            </a:solidFill>
            <a:ln>
              <a:noFill/>
            </a:ln>
            <a:effectLst/>
          </c:spPr>
          <c:invertIfNegative val="0"/>
          <c:cat>
            <c:numRef>
              <c:f>Stundensatz!$N$49:$N$60</c:f>
              <c:numCache>
                <c:formatCode>#,##0</c:formatCode>
                <c:ptCount val="12"/>
                <c:pt idx="0">
                  <c:v>200</c:v>
                </c:pt>
                <c:pt idx="1">
                  <c:v>400</c:v>
                </c:pt>
                <c:pt idx="2">
                  <c:v>600</c:v>
                </c:pt>
                <c:pt idx="3">
                  <c:v>800</c:v>
                </c:pt>
                <c:pt idx="4">
                  <c:v>1000</c:v>
                </c:pt>
                <c:pt idx="5">
                  <c:v>1200</c:v>
                </c:pt>
                <c:pt idx="6">
                  <c:v>1400</c:v>
                </c:pt>
                <c:pt idx="7">
                  <c:v>1600</c:v>
                </c:pt>
                <c:pt idx="8">
                  <c:v>1800</c:v>
                </c:pt>
                <c:pt idx="9">
                  <c:v>2000</c:v>
                </c:pt>
                <c:pt idx="10">
                  <c:v>2200</c:v>
                </c:pt>
                <c:pt idx="11">
                  <c:v>2400</c:v>
                </c:pt>
              </c:numCache>
            </c:numRef>
          </c:cat>
          <c:val>
            <c:numRef>
              <c:f>Stundensatz!$P$49:$P$60</c:f>
              <c:numCache>
                <c:formatCode>#,##0.0</c:formatCode>
                <c:ptCount val="12"/>
                <c:pt idx="0">
                  <c:v>372.50200000000001</c:v>
                </c:pt>
                <c:pt idx="1">
                  <c:v>255.99200000000002</c:v>
                </c:pt>
                <c:pt idx="2">
                  <c:v>217.15533333333332</c:v>
                </c:pt>
                <c:pt idx="3">
                  <c:v>197.73700000000002</c:v>
                </c:pt>
                <c:pt idx="4">
                  <c:v>186.08599999999998</c:v>
                </c:pt>
                <c:pt idx="5">
                  <c:v>178.31866666666667</c:v>
                </c:pt>
                <c:pt idx="6">
                  <c:v>172.77057142857143</c:v>
                </c:pt>
                <c:pt idx="7">
                  <c:v>168.6095</c:v>
                </c:pt>
                <c:pt idx="8">
                  <c:v>165.37311111111109</c:v>
                </c:pt>
                <c:pt idx="9">
                  <c:v>162.78399999999999</c:v>
                </c:pt>
                <c:pt idx="10">
                  <c:v>160.66563636363639</c:v>
                </c:pt>
                <c:pt idx="11">
                  <c:v>158.90033333333335</c:v>
                </c:pt>
              </c:numCache>
            </c:numRef>
          </c:val>
          <c:extLst>
            <c:ext xmlns:c16="http://schemas.microsoft.com/office/drawing/2014/chart" uri="{C3380CC4-5D6E-409C-BE32-E72D297353CC}">
              <c16:uniqueId val="{00000000-95A9-4896-B7FF-4C4DD88C24CA}"/>
            </c:ext>
          </c:extLst>
        </c:ser>
        <c:dLbls>
          <c:showLegendKey val="0"/>
          <c:showVal val="0"/>
          <c:showCatName val="0"/>
          <c:showSerName val="0"/>
          <c:showPercent val="0"/>
          <c:showBubbleSize val="0"/>
        </c:dLbls>
        <c:gapWidth val="219"/>
        <c:overlap val="-27"/>
        <c:axId val="593406735"/>
        <c:axId val="679211519"/>
      </c:barChart>
      <c:catAx>
        <c:axId val="5934067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Anzahl Klicks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9211519"/>
        <c:crosses val="autoZero"/>
        <c:auto val="1"/>
        <c:lblAlgn val="ctr"/>
        <c:lblOffset val="100"/>
        <c:noMultiLvlLbl val="0"/>
      </c:catAx>
      <c:valAx>
        <c:axId val="679211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sz="1000" b="0" i="0" baseline="0">
                    <a:effectLst/>
                  </a:rPr>
                  <a:t>Stundensatz, in CHF</a:t>
                </a:r>
                <a:endParaRPr lang="en-US" sz="4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406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Abhängigkeit des Stundensatzes von der Conversion Rate</a:t>
            </a:r>
            <a:endParaRPr lang="en-US"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2"/>
            </a:solidFill>
            <a:ln>
              <a:noFill/>
            </a:ln>
            <a:effectLst/>
          </c:spPr>
          <c:invertIfNegative val="0"/>
          <c:cat>
            <c:numRef>
              <c:f>Stundensatz!$N$66:$N$74</c:f>
              <c:numCache>
                <c:formatCode>0.0%</c:formatCode>
                <c:ptCount val="9"/>
                <c:pt idx="0">
                  <c:v>5.0000000000000001E-3</c:v>
                </c:pt>
                <c:pt idx="1">
                  <c:v>0.01</c:v>
                </c:pt>
                <c:pt idx="2">
                  <c:v>1.4999999999999999E-2</c:v>
                </c:pt>
                <c:pt idx="3">
                  <c:v>0.02</c:v>
                </c:pt>
                <c:pt idx="4">
                  <c:v>2.5000000000000001E-2</c:v>
                </c:pt>
                <c:pt idx="5">
                  <c:v>0.03</c:v>
                </c:pt>
                <c:pt idx="6">
                  <c:v>3.5000000000000003E-2</c:v>
                </c:pt>
                <c:pt idx="7">
                  <c:v>0.04</c:v>
                </c:pt>
                <c:pt idx="8">
                  <c:v>4.5000000000000005E-2</c:v>
                </c:pt>
              </c:numCache>
            </c:numRef>
          </c:cat>
          <c:val>
            <c:numRef>
              <c:f>Stundensatz!$P$66:$P$74</c:f>
              <c:numCache>
                <c:formatCode>#,##0.0</c:formatCode>
                <c:ptCount val="9"/>
                <c:pt idx="0">
                  <c:v>235.69</c:v>
                </c:pt>
                <c:pt idx="1">
                  <c:v>186.08599999999998</c:v>
                </c:pt>
                <c:pt idx="2">
                  <c:v>169.55133333333333</c:v>
                </c:pt>
                <c:pt idx="3">
                  <c:v>161.28399999999999</c:v>
                </c:pt>
                <c:pt idx="4">
                  <c:v>156.3236</c:v>
                </c:pt>
                <c:pt idx="5">
                  <c:v>153.01666666666668</c:v>
                </c:pt>
                <c:pt idx="6">
                  <c:v>150.65457142857144</c:v>
                </c:pt>
                <c:pt idx="7">
                  <c:v>148.88299999999998</c:v>
                </c:pt>
                <c:pt idx="8">
                  <c:v>147.50511111111109</c:v>
                </c:pt>
              </c:numCache>
            </c:numRef>
          </c:val>
          <c:extLst>
            <c:ext xmlns:c16="http://schemas.microsoft.com/office/drawing/2014/chart" uri="{C3380CC4-5D6E-409C-BE32-E72D297353CC}">
              <c16:uniqueId val="{00000000-E441-4420-8183-D64362F046E7}"/>
            </c:ext>
          </c:extLst>
        </c:ser>
        <c:dLbls>
          <c:showLegendKey val="0"/>
          <c:showVal val="0"/>
          <c:showCatName val="0"/>
          <c:showSerName val="0"/>
          <c:showPercent val="0"/>
          <c:showBubbleSize val="0"/>
        </c:dLbls>
        <c:gapWidth val="219"/>
        <c:overlap val="-27"/>
        <c:axId val="686059135"/>
        <c:axId val="679205695"/>
      </c:barChart>
      <c:catAx>
        <c:axId val="6860591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Conversion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79205695"/>
        <c:crosses val="autoZero"/>
        <c:auto val="1"/>
        <c:lblAlgn val="ctr"/>
        <c:lblOffset val="100"/>
        <c:noMultiLvlLbl val="0"/>
      </c:catAx>
      <c:valAx>
        <c:axId val="67920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sz="1100" b="0" i="0" baseline="0">
                    <a:effectLst/>
                  </a:rPr>
                  <a:t>Stundensatz, in CHF</a:t>
                </a:r>
                <a:endParaRPr lang="en-US" sz="6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6059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1453546</xdr:colOff>
      <xdr:row>0</xdr:row>
      <xdr:rowOff>111200</xdr:rowOff>
    </xdr:from>
    <xdr:to>
      <xdr:col>19</xdr:col>
      <xdr:colOff>20539</xdr:colOff>
      <xdr:row>3</xdr:row>
      <xdr:rowOff>38026</xdr:rowOff>
    </xdr:to>
    <xdr:pic>
      <xdr:nvPicPr>
        <xdr:cNvPr id="2" name="Picture 1">
          <a:extLst>
            <a:ext uri="{FF2B5EF4-FFF2-40B4-BE49-F238E27FC236}">
              <a16:creationId xmlns:a16="http://schemas.microsoft.com/office/drawing/2014/main" id="{00979457-6367-4E8D-99DE-81693812FD92}"/>
            </a:ext>
          </a:extLst>
        </xdr:cNvPr>
        <xdr:cNvPicPr>
          <a:picLocks noChangeAspect="1"/>
        </xdr:cNvPicPr>
      </xdr:nvPicPr>
      <xdr:blipFill>
        <a:blip xmlns:r="http://schemas.openxmlformats.org/officeDocument/2006/relationships" r:embed="rId1"/>
        <a:stretch>
          <a:fillRect/>
        </a:stretch>
      </xdr:blipFill>
      <xdr:spPr>
        <a:xfrm>
          <a:off x="10911871" y="111200"/>
          <a:ext cx="2783206" cy="860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1247775</xdr:colOff>
      <xdr:row>46</xdr:row>
      <xdr:rowOff>171450</xdr:rowOff>
    </xdr:from>
    <xdr:to>
      <xdr:col>8</xdr:col>
      <xdr:colOff>76200</xdr:colOff>
      <xdr:row>61</xdr:row>
      <xdr:rowOff>190500</xdr:rowOff>
    </xdr:to>
    <xdr:graphicFrame macro="">
      <xdr:nvGraphicFramePr>
        <xdr:cNvPr id="2" name="Chart 1">
          <a:extLst>
            <a:ext uri="{FF2B5EF4-FFF2-40B4-BE49-F238E27FC236}">
              <a16:creationId xmlns:a16="http://schemas.microsoft.com/office/drawing/2014/main" id="{1D9BD591-66AC-48E8-B6C9-1B7BEE2A2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13</xdr:col>
      <xdr:colOff>76200</xdr:colOff>
      <xdr:row>0</xdr:row>
      <xdr:rowOff>90469</xdr:rowOff>
    </xdr:from>
    <xdr:ext cx="2783206" cy="856914"/>
    <xdr:pic>
      <xdr:nvPicPr>
        <xdr:cNvPr id="2" name="Picture 1">
          <a:extLst>
            <a:ext uri="{FF2B5EF4-FFF2-40B4-BE49-F238E27FC236}">
              <a16:creationId xmlns:a16="http://schemas.microsoft.com/office/drawing/2014/main" id="{010B7707-8BEE-4A2F-B739-91ED6B83D10A}"/>
            </a:ext>
          </a:extLst>
        </xdr:cNvPr>
        <xdr:cNvPicPr>
          <a:picLocks noChangeAspect="1"/>
        </xdr:cNvPicPr>
      </xdr:nvPicPr>
      <xdr:blipFill>
        <a:blip xmlns:r="http://schemas.openxmlformats.org/officeDocument/2006/relationships" r:embed="rId1"/>
        <a:stretch>
          <a:fillRect/>
        </a:stretch>
      </xdr:blipFill>
      <xdr:spPr>
        <a:xfrm>
          <a:off x="8001000" y="90469"/>
          <a:ext cx="2783206" cy="856914"/>
        </a:xfrm>
        <a:prstGeom prst="rect">
          <a:avLst/>
        </a:prstGeom>
      </xdr:spPr>
    </xdr:pic>
    <xdr:clientData/>
  </xdr:oneCellAnchor>
  <xdr:twoCellAnchor>
    <xdr:from>
      <xdr:col>2</xdr:col>
      <xdr:colOff>57150</xdr:colOff>
      <xdr:row>28</xdr:row>
      <xdr:rowOff>128587</xdr:rowOff>
    </xdr:from>
    <xdr:to>
      <xdr:col>8</xdr:col>
      <xdr:colOff>390525</xdr:colOff>
      <xdr:row>43</xdr:row>
      <xdr:rowOff>161925</xdr:rowOff>
    </xdr:to>
    <xdr:graphicFrame macro="">
      <xdr:nvGraphicFramePr>
        <xdr:cNvPr id="3" name="Chart 2">
          <a:extLst>
            <a:ext uri="{FF2B5EF4-FFF2-40B4-BE49-F238E27FC236}">
              <a16:creationId xmlns:a16="http://schemas.microsoft.com/office/drawing/2014/main" id="{50CF2F41-4AF9-4105-9A15-71AFFEC54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xdr:colOff>
      <xdr:row>45</xdr:row>
      <xdr:rowOff>176212</xdr:rowOff>
    </xdr:from>
    <xdr:to>
      <xdr:col>8</xdr:col>
      <xdr:colOff>390525</xdr:colOff>
      <xdr:row>60</xdr:row>
      <xdr:rowOff>61912</xdr:rowOff>
    </xdr:to>
    <xdr:graphicFrame macro="">
      <xdr:nvGraphicFramePr>
        <xdr:cNvPr id="4" name="Chart 3">
          <a:extLst>
            <a:ext uri="{FF2B5EF4-FFF2-40B4-BE49-F238E27FC236}">
              <a16:creationId xmlns:a16="http://schemas.microsoft.com/office/drawing/2014/main" id="{391C8034-FEC0-4FA8-8EC9-010042510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71437</xdr:colOff>
      <xdr:row>62</xdr:row>
      <xdr:rowOff>176212</xdr:rowOff>
    </xdr:from>
    <xdr:to>
      <xdr:col>8</xdr:col>
      <xdr:colOff>419100</xdr:colOff>
      <xdr:row>77</xdr:row>
      <xdr:rowOff>61912</xdr:rowOff>
    </xdr:to>
    <xdr:graphicFrame macro="">
      <xdr:nvGraphicFramePr>
        <xdr:cNvPr id="5" name="Chart 4">
          <a:extLst>
            <a:ext uri="{FF2B5EF4-FFF2-40B4-BE49-F238E27FC236}">
              <a16:creationId xmlns:a16="http://schemas.microsoft.com/office/drawing/2014/main" id="{3D1346E6-E277-406F-B859-46C7C895E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12</xdr:col>
      <xdr:colOff>76200</xdr:colOff>
      <xdr:row>0</xdr:row>
      <xdr:rowOff>90469</xdr:rowOff>
    </xdr:from>
    <xdr:ext cx="2783206" cy="856914"/>
    <xdr:pic>
      <xdr:nvPicPr>
        <xdr:cNvPr id="2" name="Picture 1">
          <a:extLst>
            <a:ext uri="{FF2B5EF4-FFF2-40B4-BE49-F238E27FC236}">
              <a16:creationId xmlns:a16="http://schemas.microsoft.com/office/drawing/2014/main" id="{D806054D-D1BA-4595-BA8C-3FCBC14BB7C1}"/>
            </a:ext>
          </a:extLst>
        </xdr:cNvPr>
        <xdr:cNvPicPr>
          <a:picLocks noChangeAspect="1"/>
        </xdr:cNvPicPr>
      </xdr:nvPicPr>
      <xdr:blipFill>
        <a:blip xmlns:r="http://schemas.openxmlformats.org/officeDocument/2006/relationships" r:embed="rId1"/>
        <a:stretch>
          <a:fillRect/>
        </a:stretch>
      </xdr:blipFill>
      <xdr:spPr>
        <a:xfrm>
          <a:off x="7391400" y="90469"/>
          <a:ext cx="2783206" cy="85691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14</xdr:col>
      <xdr:colOff>560292</xdr:colOff>
      <xdr:row>0</xdr:row>
      <xdr:rowOff>104213</xdr:rowOff>
    </xdr:from>
    <xdr:to>
      <xdr:col>19</xdr:col>
      <xdr:colOff>93792</xdr:colOff>
      <xdr:row>3</xdr:row>
      <xdr:rowOff>42245</xdr:rowOff>
    </xdr:to>
    <xdr:pic>
      <xdr:nvPicPr>
        <xdr:cNvPr id="3" name="Picture 2">
          <a:extLst>
            <a:ext uri="{FF2B5EF4-FFF2-40B4-BE49-F238E27FC236}">
              <a16:creationId xmlns:a16="http://schemas.microsoft.com/office/drawing/2014/main" id="{4EEC3198-D7E6-4CB6-B12C-CDC7E6256641}"/>
            </a:ext>
          </a:extLst>
        </xdr:cNvPr>
        <xdr:cNvPicPr>
          <a:picLocks noChangeAspect="1"/>
        </xdr:cNvPicPr>
      </xdr:nvPicPr>
      <xdr:blipFill>
        <a:blip xmlns:r="http://schemas.openxmlformats.org/officeDocument/2006/relationships" r:embed="rId1"/>
        <a:stretch>
          <a:fillRect/>
        </a:stretch>
      </xdr:blipFill>
      <xdr:spPr>
        <a:xfrm>
          <a:off x="10869704" y="104213"/>
          <a:ext cx="2783206" cy="856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637951</xdr:colOff>
      <xdr:row>4</xdr:row>
      <xdr:rowOff>26864</xdr:rowOff>
    </xdr:to>
    <xdr:pic>
      <xdr:nvPicPr>
        <xdr:cNvPr id="2" name="Picture 1">
          <a:extLst>
            <a:ext uri="{FF2B5EF4-FFF2-40B4-BE49-F238E27FC236}">
              <a16:creationId xmlns:a16="http://schemas.microsoft.com/office/drawing/2014/main" id="{8A5EB71B-5493-4FA8-BC19-64AA8C46A269}"/>
            </a:ext>
          </a:extLst>
        </xdr:cNvPr>
        <xdr:cNvPicPr>
          <a:picLocks noChangeAspect="1"/>
        </xdr:cNvPicPr>
      </xdr:nvPicPr>
      <xdr:blipFill>
        <a:blip xmlns:r="http://schemas.openxmlformats.org/officeDocument/2006/relationships" r:embed="rId1"/>
        <a:stretch>
          <a:fillRect/>
        </a:stretch>
      </xdr:blipFill>
      <xdr:spPr>
        <a:xfrm>
          <a:off x="0" y="0"/>
          <a:ext cx="2800126" cy="8650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13</xdr:col>
      <xdr:colOff>76200</xdr:colOff>
      <xdr:row>0</xdr:row>
      <xdr:rowOff>90469</xdr:rowOff>
    </xdr:from>
    <xdr:ext cx="2783206" cy="856914"/>
    <xdr:pic>
      <xdr:nvPicPr>
        <xdr:cNvPr id="2" name="Picture 1">
          <a:extLst>
            <a:ext uri="{FF2B5EF4-FFF2-40B4-BE49-F238E27FC236}">
              <a16:creationId xmlns:a16="http://schemas.microsoft.com/office/drawing/2014/main" id="{DE1ECD75-A95D-4284-B0F9-36E2E1218224}"/>
            </a:ext>
          </a:extLst>
        </xdr:cNvPr>
        <xdr:cNvPicPr>
          <a:picLocks noChangeAspect="1"/>
        </xdr:cNvPicPr>
      </xdr:nvPicPr>
      <xdr:blipFill>
        <a:blip xmlns:r="http://schemas.openxmlformats.org/officeDocument/2006/relationships" r:embed="rId1"/>
        <a:stretch>
          <a:fillRect/>
        </a:stretch>
      </xdr:blipFill>
      <xdr:spPr>
        <a:xfrm>
          <a:off x="8001000" y="90469"/>
          <a:ext cx="2783206" cy="85691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bfs.admin.ch/bfs/portal/de/index/themen/03/02/blank/data/06.html" TargetMode="External"/><Relationship Id="rId1" Type="http://schemas.openxmlformats.org/officeDocument/2006/relationships/hyperlink" Target="http://www.inside-it.ch/articles/30006"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showGridLines="0" tabSelected="1" zoomScale="85" zoomScaleNormal="85" workbookViewId="0">
      <selection activeCell="X20" sqref="X20"/>
    </sheetView>
  </sheetViews>
  <sheetFormatPr defaultColWidth="11" defaultRowHeight="14.25" x14ac:dyDescent="0.2"/>
  <cols>
    <col min="1" max="1" width="1.375" style="2" customWidth="1"/>
    <col min="2" max="2" width="4.375" style="2" customWidth="1"/>
    <col min="3" max="3" width="2.875" style="2" customWidth="1"/>
    <col min="4" max="4" width="44.75" style="2" customWidth="1"/>
    <col min="5" max="5" width="9.375" style="98" customWidth="1"/>
    <col min="6" max="6" width="2.375" style="2" customWidth="1"/>
    <col min="7" max="7" width="9.25" style="99" bestFit="1" customWidth="1"/>
    <col min="8" max="9" width="8.5" style="2" customWidth="1"/>
    <col min="10" max="10" width="10.5" style="2" customWidth="1"/>
    <col min="11" max="11" width="8.5" style="2" customWidth="1"/>
    <col min="12" max="12" width="6.5" style="2" customWidth="1"/>
    <col min="13" max="13" width="3.875" style="2" customWidth="1"/>
    <col min="14" max="14" width="10.5" style="2" customWidth="1"/>
    <col min="15" max="17" width="8.5" style="2" customWidth="1"/>
    <col min="18" max="18" width="10.625" style="2" bestFit="1" customWidth="1"/>
    <col min="19" max="22" width="8.5" style="2" customWidth="1"/>
    <col min="23" max="23" width="8.625" style="2" customWidth="1"/>
    <col min="24" max="16384" width="11" style="2"/>
  </cols>
  <sheetData>
    <row r="1" spans="1:26" ht="14.25" customHeight="1" x14ac:dyDescent="0.25">
      <c r="A1" s="1"/>
      <c r="B1" s="1"/>
      <c r="C1" s="1"/>
      <c r="D1" s="1"/>
      <c r="E1"/>
      <c r="F1"/>
      <c r="G1"/>
      <c r="H1"/>
      <c r="I1"/>
      <c r="J1"/>
      <c r="K1"/>
      <c r="L1"/>
      <c r="M1"/>
      <c r="N1"/>
      <c r="O1"/>
      <c r="P1"/>
      <c r="Q1"/>
      <c r="R1"/>
      <c r="S1"/>
      <c r="T1"/>
      <c r="U1"/>
      <c r="V1"/>
      <c r="W1"/>
    </row>
    <row r="2" spans="1:26" ht="29.1" customHeight="1" x14ac:dyDescent="0.35">
      <c r="A2" s="3"/>
      <c r="B2" s="4" t="s">
        <v>0</v>
      </c>
      <c r="C2" s="5"/>
      <c r="D2" s="5"/>
      <c r="E2" s="3"/>
      <c r="F2" s="4"/>
      <c r="G2" s="5"/>
      <c r="H2" s="5"/>
      <c r="I2" s="3"/>
      <c r="J2" s="4"/>
      <c r="K2" s="5"/>
      <c r="L2" s="5"/>
      <c r="M2" s="3"/>
      <c r="N2" s="4"/>
      <c r="O2" s="5"/>
      <c r="P2" s="5"/>
      <c r="Q2" s="3"/>
      <c r="R2" s="4"/>
      <c r="S2" s="5"/>
      <c r="T2" s="5"/>
      <c r="U2" s="3"/>
      <c r="V2" s="4"/>
      <c r="W2"/>
    </row>
    <row r="3" spans="1:26" ht="30.95" customHeight="1" x14ac:dyDescent="0.25">
      <c r="A3" s="5"/>
      <c r="B3" s="6" t="s">
        <v>1</v>
      </c>
      <c r="C3" s="5"/>
      <c r="D3" s="5"/>
      <c r="E3" s="5"/>
      <c r="F3" s="6"/>
      <c r="G3" s="5"/>
      <c r="H3" s="5"/>
      <c r="I3" s="5"/>
      <c r="J3" s="6"/>
      <c r="K3" s="5"/>
      <c r="L3" s="5"/>
      <c r="M3" s="5"/>
      <c r="N3" s="6"/>
      <c r="O3" s="5"/>
      <c r="P3" s="5"/>
      <c r="Q3" s="5"/>
      <c r="R3" s="6"/>
      <c r="S3" s="5"/>
      <c r="T3" s="5"/>
      <c r="U3" s="5"/>
      <c r="V3" s="6"/>
      <c r="W3"/>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
      <c r="C5" s="1"/>
      <c r="D5" s="1"/>
      <c r="E5" s="7"/>
      <c r="F5" s="8"/>
      <c r="G5" s="9"/>
      <c r="H5" s="8"/>
      <c r="I5" s="8"/>
      <c r="J5" s="8"/>
      <c r="K5" s="8"/>
      <c r="L5" s="8"/>
    </row>
    <row r="6" spans="1:26" ht="27" customHeight="1" x14ac:dyDescent="0.25">
      <c r="A6" s="10"/>
      <c r="B6" s="196" t="s">
        <v>2</v>
      </c>
      <c r="C6" s="196"/>
      <c r="D6" s="196"/>
      <c r="E6" s="197" t="s">
        <v>3</v>
      </c>
      <c r="F6" s="197"/>
      <c r="G6" s="197" t="s">
        <v>4</v>
      </c>
      <c r="H6" s="196"/>
      <c r="I6" s="198" t="s">
        <v>5</v>
      </c>
      <c r="J6" s="198" t="s">
        <v>6</v>
      </c>
      <c r="K6" s="198" t="s">
        <v>7</v>
      </c>
      <c r="L6" s="8"/>
      <c r="N6" s="196" t="s">
        <v>8</v>
      </c>
      <c r="O6" s="196"/>
      <c r="P6" s="197"/>
      <c r="Q6" s="206"/>
      <c r="R6" s="207"/>
      <c r="S6" s="206"/>
      <c r="T6" s="206"/>
      <c r="U6" s="208" t="s">
        <v>9</v>
      </c>
      <c r="W6" s="225"/>
    </row>
    <row r="7" spans="1:26" ht="12.75" customHeight="1" x14ac:dyDescent="0.25">
      <c r="A7" s="10"/>
      <c r="B7" s="14"/>
      <c r="C7" s="14"/>
      <c r="D7" s="15"/>
      <c r="E7" s="16"/>
      <c r="F7" s="17"/>
      <c r="G7" s="16"/>
      <c r="H7" s="17"/>
      <c r="I7" s="18"/>
      <c r="J7" s="18"/>
      <c r="K7" s="16"/>
      <c r="L7" s="8"/>
      <c r="N7" s="25" t="s">
        <v>4</v>
      </c>
      <c r="O7" s="14"/>
      <c r="P7" s="14"/>
      <c r="Q7" s="16"/>
      <c r="R7" s="26"/>
      <c r="S7" s="27"/>
      <c r="T7" s="28"/>
      <c r="U7" s="28"/>
      <c r="W7" s="225"/>
    </row>
    <row r="8" spans="1:26" ht="15" customHeight="1" x14ac:dyDescent="0.25">
      <c r="A8" s="10"/>
      <c r="B8" s="20">
        <f>MAX($A$1:B6)+1</f>
        <v>1</v>
      </c>
      <c r="C8" s="21" t="s">
        <v>10</v>
      </c>
      <c r="D8" s="22"/>
      <c r="E8" s="23"/>
      <c r="F8" s="24"/>
      <c r="G8" s="23"/>
      <c r="H8" s="24"/>
      <c r="I8" s="23"/>
      <c r="J8" s="23"/>
      <c r="K8" s="23"/>
      <c r="L8" s="8"/>
      <c r="N8" s="29" t="s">
        <v>13</v>
      </c>
      <c r="O8" s="28"/>
      <c r="P8" s="31"/>
      <c r="Q8" s="31"/>
      <c r="R8" s="35"/>
      <c r="S8" s="28"/>
      <c r="T8" s="36">
        <v>1</v>
      </c>
      <c r="U8" s="37">
        <v>2100</v>
      </c>
      <c r="W8" s="225"/>
      <c r="X8" s="42"/>
    </row>
    <row r="9" spans="1:26" ht="15" customHeight="1" x14ac:dyDescent="0.25">
      <c r="B9" s="28"/>
      <c r="C9" s="29" t="s">
        <v>11</v>
      </c>
      <c r="D9" s="28"/>
      <c r="E9" s="30" t="s">
        <v>12</v>
      </c>
      <c r="F9" s="28"/>
      <c r="G9" s="31"/>
      <c r="H9" s="28"/>
      <c r="I9" s="32">
        <v>6000</v>
      </c>
      <c r="J9" s="33">
        <f>I9/$I$9</f>
        <v>1</v>
      </c>
      <c r="K9" s="34">
        <f>I9/$U$8*12</f>
        <v>34.285714285714285</v>
      </c>
      <c r="L9" s="8"/>
      <c r="N9" s="29" t="s">
        <v>15</v>
      </c>
      <c r="O9" s="28"/>
      <c r="P9" s="31"/>
      <c r="Q9" s="28"/>
      <c r="R9" s="35"/>
      <c r="S9" s="28"/>
      <c r="T9" s="37">
        <v>9</v>
      </c>
      <c r="U9" s="38">
        <f>T9*8.4</f>
        <v>75.600000000000009</v>
      </c>
      <c r="W9" s="276"/>
      <c r="X9" s="42"/>
    </row>
    <row r="10" spans="1:26" ht="15" customHeight="1" x14ac:dyDescent="0.25">
      <c r="B10" s="28"/>
      <c r="C10" s="29" t="s">
        <v>14</v>
      </c>
      <c r="D10" s="28"/>
      <c r="E10" s="30" t="s">
        <v>12</v>
      </c>
      <c r="F10" s="28"/>
      <c r="G10" s="31"/>
      <c r="H10" s="28"/>
      <c r="I10" s="38">
        <f>I9*J10</f>
        <v>480</v>
      </c>
      <c r="J10" s="39">
        <v>0.08</v>
      </c>
      <c r="K10" s="34">
        <f>I10/$U$8*12</f>
        <v>2.7428571428571429</v>
      </c>
      <c r="L10" s="8"/>
      <c r="N10" s="29" t="s">
        <v>18</v>
      </c>
      <c r="O10" s="28"/>
      <c r="P10" s="31"/>
      <c r="Q10" s="28"/>
      <c r="R10" s="35"/>
      <c r="S10" s="28"/>
      <c r="T10" s="37">
        <v>5</v>
      </c>
      <c r="U10" s="38">
        <f>T10*42</f>
        <v>210</v>
      </c>
      <c r="W10" s="225"/>
      <c r="X10" s="42"/>
    </row>
    <row r="11" spans="1:26" ht="15" customHeight="1" x14ac:dyDescent="0.25">
      <c r="B11" s="28"/>
      <c r="C11" s="29" t="s">
        <v>16</v>
      </c>
      <c r="D11" s="28"/>
      <c r="E11" s="30" t="s">
        <v>17</v>
      </c>
      <c r="F11" s="40"/>
      <c r="G11" s="41">
        <v>0.17</v>
      </c>
      <c r="H11" s="40"/>
      <c r="I11" s="38">
        <f>G11*(I9+I10)</f>
        <v>1101.6000000000001</v>
      </c>
      <c r="J11" s="33">
        <f>I11/$I$9</f>
        <v>0.18360000000000001</v>
      </c>
      <c r="K11" s="34">
        <f>I11/$U$8*12</f>
        <v>6.2948571428571443</v>
      </c>
      <c r="L11" s="8"/>
      <c r="N11" s="29" t="s">
        <v>20</v>
      </c>
      <c r="O11" s="28"/>
      <c r="P11" s="31"/>
      <c r="Q11" s="31"/>
      <c r="R11" s="35"/>
      <c r="S11" s="20"/>
      <c r="T11" s="51"/>
      <c r="U11" s="52">
        <v>60</v>
      </c>
      <c r="W11" s="225"/>
      <c r="X11" s="42"/>
    </row>
    <row r="12" spans="1:26" s="42" customFormat="1" ht="15" customHeight="1" x14ac:dyDescent="0.25">
      <c r="B12" s="20"/>
      <c r="C12" s="43" t="s">
        <v>19</v>
      </c>
      <c r="D12" s="44"/>
      <c r="E12" s="45" t="s">
        <v>12</v>
      </c>
      <c r="F12" s="44"/>
      <c r="G12" s="46"/>
      <c r="H12" s="44"/>
      <c r="I12" s="47">
        <f>I9+I10+I11</f>
        <v>7581.6</v>
      </c>
      <c r="J12" s="48">
        <f>I12/$I$9</f>
        <v>1.2636000000000001</v>
      </c>
      <c r="K12" s="49">
        <f>I12/$U$8*12</f>
        <v>43.323428571428572</v>
      </c>
      <c r="L12" s="50"/>
      <c r="N12" s="57" t="s">
        <v>21</v>
      </c>
      <c r="O12" s="58"/>
      <c r="P12" s="58"/>
      <c r="Q12" s="59"/>
      <c r="R12" s="58"/>
      <c r="S12" s="58"/>
      <c r="T12" s="60">
        <f>U12/U8</f>
        <v>0.83542857142857152</v>
      </c>
      <c r="U12" s="38">
        <f>U8-U9-U10-U11</f>
        <v>1754.4</v>
      </c>
      <c r="V12" s="2"/>
      <c r="W12" s="225"/>
      <c r="Y12" s="2"/>
      <c r="Z12" s="2"/>
    </row>
    <row r="13" spans="1:26" s="42" customFormat="1" ht="15" customHeight="1" thickBot="1" x14ac:dyDescent="0.3">
      <c r="B13" s="20"/>
      <c r="C13" s="20"/>
      <c r="D13" s="20"/>
      <c r="E13" s="53"/>
      <c r="F13" s="20"/>
      <c r="G13" s="54"/>
      <c r="H13" s="20"/>
      <c r="I13" s="55"/>
      <c r="J13" s="33"/>
      <c r="K13" s="56"/>
      <c r="L13" s="50"/>
      <c r="N13" s="209" t="s">
        <v>23</v>
      </c>
      <c r="O13" s="209"/>
      <c r="P13" s="209"/>
      <c r="Q13" s="209"/>
      <c r="R13" s="210"/>
      <c r="S13" s="210"/>
      <c r="T13" s="210"/>
      <c r="U13" s="211">
        <f>U12/12</f>
        <v>146.20000000000002</v>
      </c>
      <c r="V13" s="2"/>
      <c r="W13" s="225"/>
      <c r="Y13" s="2"/>
      <c r="Z13" s="2"/>
    </row>
    <row r="14" spans="1:26" ht="15" customHeight="1" x14ac:dyDescent="0.2">
      <c r="B14" s="20">
        <f>MAX($A$1:B13)+1</f>
        <v>2</v>
      </c>
      <c r="C14" s="20" t="s">
        <v>22</v>
      </c>
      <c r="D14" s="28"/>
      <c r="E14" s="53"/>
      <c r="F14" s="20"/>
      <c r="G14" s="61"/>
      <c r="H14" s="62"/>
      <c r="I14" s="63">
        <f>SUM(I16:I25)</f>
        <v>1314.08</v>
      </c>
      <c r="J14" s="64">
        <f>I14/$I$9</f>
        <v>0.21901333333333331</v>
      </c>
      <c r="K14" s="65">
        <f>I14/$U$8*12</f>
        <v>7.5090285714285709</v>
      </c>
      <c r="L14" s="8"/>
      <c r="N14" s="8"/>
      <c r="O14" s="8"/>
      <c r="P14" s="8"/>
      <c r="Q14" s="71"/>
      <c r="R14" s="72"/>
      <c r="S14" s="8"/>
      <c r="T14" s="8"/>
      <c r="U14" s="8"/>
      <c r="W14" s="225"/>
    </row>
    <row r="15" spans="1:26" ht="15.75" x14ac:dyDescent="0.25">
      <c r="B15" s="28"/>
      <c r="C15" s="58"/>
      <c r="D15" s="57"/>
      <c r="E15" s="66"/>
      <c r="F15" s="58"/>
      <c r="G15" s="67"/>
      <c r="H15" s="58"/>
      <c r="I15" s="68"/>
      <c r="J15" s="69"/>
      <c r="K15" s="70"/>
      <c r="L15" s="8"/>
      <c r="S15"/>
      <c r="T15"/>
      <c r="U15" s="74"/>
      <c r="W15" s="225"/>
    </row>
    <row r="16" spans="1:26" ht="15" customHeight="1" x14ac:dyDescent="0.2">
      <c r="B16" s="28"/>
      <c r="C16" s="29" t="s">
        <v>24</v>
      </c>
      <c r="D16" s="28"/>
      <c r="E16" s="30" t="s">
        <v>17</v>
      </c>
      <c r="F16" s="40"/>
      <c r="G16" s="73">
        <v>0.05</v>
      </c>
      <c r="H16" s="40"/>
      <c r="I16" s="38">
        <f>G16*I12</f>
        <v>379.08000000000004</v>
      </c>
      <c r="J16" s="33">
        <f t="shared" ref="J16:J23" si="0">I16/$I$9</f>
        <v>6.318E-2</v>
      </c>
      <c r="K16" s="34">
        <f t="shared" ref="K16:K23" si="1">I16/$U$8*12</f>
        <v>2.1661714285714289</v>
      </c>
      <c r="L16" s="8"/>
      <c r="N16" s="327" t="s">
        <v>38</v>
      </c>
      <c r="O16" s="328"/>
      <c r="P16" s="328"/>
      <c r="Q16" s="328"/>
      <c r="R16" s="329" t="s">
        <v>39</v>
      </c>
      <c r="S16" s="330"/>
      <c r="T16" s="328"/>
      <c r="U16" s="331"/>
      <c r="W16" s="225"/>
    </row>
    <row r="17" spans="2:26" ht="15" customHeight="1" x14ac:dyDescent="0.2">
      <c r="B17" s="28"/>
      <c r="C17" s="29" t="s">
        <v>25</v>
      </c>
      <c r="D17" s="28"/>
      <c r="E17" s="30" t="s">
        <v>12</v>
      </c>
      <c r="F17" s="40"/>
      <c r="G17" s="75"/>
      <c r="H17" s="40"/>
      <c r="I17" s="76">
        <v>150</v>
      </c>
      <c r="J17" s="33">
        <f t="shared" si="0"/>
        <v>2.5000000000000001E-2</v>
      </c>
      <c r="K17" s="34">
        <f t="shared" si="1"/>
        <v>0.8571428571428571</v>
      </c>
      <c r="L17" s="8"/>
      <c r="N17" s="332"/>
      <c r="O17" s="322">
        <f>L42</f>
        <v>0</v>
      </c>
      <c r="P17" s="323">
        <v>0.5</v>
      </c>
      <c r="Q17" s="323">
        <f>P17+0.1</f>
        <v>0.6</v>
      </c>
      <c r="R17" s="323">
        <f>Q17+0.1</f>
        <v>0.7</v>
      </c>
      <c r="S17" s="323">
        <f>R17+0.1</f>
        <v>0.79999999999999993</v>
      </c>
      <c r="T17" s="323">
        <f>S17+0.1</f>
        <v>0.89999999999999991</v>
      </c>
      <c r="U17" s="323">
        <f>T17+0.1</f>
        <v>0.99999999999999989</v>
      </c>
      <c r="W17" s="225"/>
    </row>
    <row r="18" spans="2:26" ht="15" customHeight="1" x14ac:dyDescent="0.2">
      <c r="B18" s="28"/>
      <c r="C18" s="29" t="s">
        <v>27</v>
      </c>
      <c r="D18" s="28"/>
      <c r="E18" s="30" t="s">
        <v>12</v>
      </c>
      <c r="F18" s="28"/>
      <c r="G18" s="31"/>
      <c r="H18" s="28"/>
      <c r="I18" s="76">
        <v>200</v>
      </c>
      <c r="J18" s="33">
        <f t="shared" si="0"/>
        <v>3.3333333333333333E-2</v>
      </c>
      <c r="K18" s="34">
        <f t="shared" si="1"/>
        <v>1.1428571428571428</v>
      </c>
      <c r="L18" s="8"/>
      <c r="N18" s="332"/>
      <c r="O18" s="324">
        <v>4000</v>
      </c>
      <c r="P18" s="325">
        <f>ROUND(verstecken!N6,1)</f>
        <v>124.4</v>
      </c>
      <c r="Q18" s="325">
        <f>ROUND(verstecken!O6,1)</f>
        <v>103.7</v>
      </c>
      <c r="R18" s="325">
        <f>ROUND(verstecken!P6,1)</f>
        <v>88.9</v>
      </c>
      <c r="S18" s="325">
        <f>ROUND(verstecken!Q6,1)</f>
        <v>77.7</v>
      </c>
      <c r="T18" s="325">
        <f>ROUND(verstecken!R6,1)</f>
        <v>69.099999999999994</v>
      </c>
      <c r="U18" s="325">
        <f>ROUND(verstecken!S6,1)</f>
        <v>62.2</v>
      </c>
      <c r="W18" s="225"/>
    </row>
    <row r="19" spans="2:26" ht="15" customHeight="1" x14ac:dyDescent="0.2">
      <c r="B19" s="28"/>
      <c r="C19" s="29" t="s">
        <v>29</v>
      </c>
      <c r="D19" s="28"/>
      <c r="E19" s="30" t="s">
        <v>12</v>
      </c>
      <c r="F19" s="28"/>
      <c r="G19" s="31"/>
      <c r="H19" s="28"/>
      <c r="I19" s="76">
        <v>140</v>
      </c>
      <c r="J19" s="33">
        <f t="shared" si="0"/>
        <v>2.3333333333333334E-2</v>
      </c>
      <c r="K19" s="34">
        <f t="shared" si="1"/>
        <v>0.8</v>
      </c>
      <c r="L19" s="8"/>
      <c r="N19" s="332"/>
      <c r="O19" s="324">
        <v>4500</v>
      </c>
      <c r="P19" s="325">
        <f>ROUND(verstecken!N7,1)</f>
        <v>132.80000000000001</v>
      </c>
      <c r="Q19" s="325">
        <f>ROUND(verstecken!O7,1)</f>
        <v>110.7</v>
      </c>
      <c r="R19" s="325">
        <f>ROUND(verstecken!P7,1)</f>
        <v>94.9</v>
      </c>
      <c r="S19" s="325">
        <f>ROUND(verstecken!Q7,1)</f>
        <v>83</v>
      </c>
      <c r="T19" s="325">
        <f>ROUND(verstecken!R7,1)</f>
        <v>73.8</v>
      </c>
      <c r="U19" s="325">
        <f>ROUND(verstecken!S7,1)</f>
        <v>66.400000000000006</v>
      </c>
      <c r="W19" s="225"/>
    </row>
    <row r="20" spans="2:26" ht="15" customHeight="1" x14ac:dyDescent="0.2">
      <c r="B20" s="28"/>
      <c r="C20" s="29" t="s">
        <v>30</v>
      </c>
      <c r="D20" s="28"/>
      <c r="E20" s="30" t="s">
        <v>12</v>
      </c>
      <c r="F20" s="28"/>
      <c r="G20" s="73">
        <v>0.3</v>
      </c>
      <c r="H20" s="28"/>
      <c r="I20" s="38">
        <f>I23*G20</f>
        <v>75</v>
      </c>
      <c r="J20" s="33">
        <f t="shared" si="0"/>
        <v>1.2500000000000001E-2</v>
      </c>
      <c r="K20" s="34">
        <f t="shared" si="1"/>
        <v>0.42857142857142855</v>
      </c>
      <c r="L20" s="8"/>
      <c r="N20" s="332"/>
      <c r="O20" s="324">
        <v>5000</v>
      </c>
      <c r="P20" s="325">
        <f>ROUND(verstecken!N8,1)</f>
        <v>141.30000000000001</v>
      </c>
      <c r="Q20" s="325">
        <f>ROUND(verstecken!O8,1)</f>
        <v>117.7</v>
      </c>
      <c r="R20" s="325">
        <f>ROUND(verstecken!P8,1)</f>
        <v>100.9</v>
      </c>
      <c r="S20" s="325">
        <f>ROUND(verstecken!Q8,1)</f>
        <v>88.3</v>
      </c>
      <c r="T20" s="325">
        <f>ROUND(verstecken!R8,1)</f>
        <v>78.5</v>
      </c>
      <c r="U20" s="325">
        <f>ROUND(verstecken!S8,1)</f>
        <v>70.599999999999994</v>
      </c>
      <c r="W20" s="225"/>
    </row>
    <row r="21" spans="2:26" ht="15" customHeight="1" x14ac:dyDescent="0.2">
      <c r="B21" s="28"/>
      <c r="C21" s="29" t="s">
        <v>31</v>
      </c>
      <c r="D21" s="28"/>
      <c r="E21" s="30" t="s">
        <v>12</v>
      </c>
      <c r="F21" s="28"/>
      <c r="G21" s="31"/>
      <c r="H21" s="28"/>
      <c r="I21" s="76">
        <v>80</v>
      </c>
      <c r="J21" s="33">
        <f t="shared" si="0"/>
        <v>1.3333333333333334E-2</v>
      </c>
      <c r="K21" s="34">
        <f t="shared" si="1"/>
        <v>0.45714285714285718</v>
      </c>
      <c r="L21" s="8"/>
      <c r="N21" s="332"/>
      <c r="O21" s="324">
        <v>5500</v>
      </c>
      <c r="P21" s="325">
        <f>ROUND(verstecken!N9,1)</f>
        <v>149.69999999999999</v>
      </c>
      <c r="Q21" s="325">
        <f>ROUND(verstecken!O9,1)</f>
        <v>124.8</v>
      </c>
      <c r="R21" s="325">
        <f>ROUND(verstecken!P9,1)</f>
        <v>106.9</v>
      </c>
      <c r="S21" s="325">
        <f>ROUND(verstecken!Q9,1)</f>
        <v>93.6</v>
      </c>
      <c r="T21" s="325">
        <f>ROUND(verstecken!R9,1)</f>
        <v>83.2</v>
      </c>
      <c r="U21" s="325">
        <f>ROUND(verstecken!S9,1)</f>
        <v>74.900000000000006</v>
      </c>
      <c r="W21" s="225"/>
    </row>
    <row r="22" spans="2:26" ht="15" customHeight="1" x14ac:dyDescent="0.2">
      <c r="B22" s="28"/>
      <c r="C22" s="29" t="s">
        <v>32</v>
      </c>
      <c r="D22" s="28"/>
      <c r="E22" s="30" t="s">
        <v>12</v>
      </c>
      <c r="F22" s="28"/>
      <c r="G22" s="31"/>
      <c r="H22" s="28"/>
      <c r="I22" s="76">
        <v>40</v>
      </c>
      <c r="J22" s="33">
        <f t="shared" si="0"/>
        <v>6.6666666666666671E-3</v>
      </c>
      <c r="K22" s="34">
        <f t="shared" si="1"/>
        <v>0.22857142857142859</v>
      </c>
      <c r="L22" s="8"/>
      <c r="N22" s="332"/>
      <c r="O22" s="324">
        <v>6000</v>
      </c>
      <c r="P22" s="325">
        <f>ROUND(verstecken!N10,1)</f>
        <v>158.19999999999999</v>
      </c>
      <c r="Q22" s="325">
        <f>ROUND(verstecken!O10,1)</f>
        <v>131.80000000000001</v>
      </c>
      <c r="R22" s="325">
        <f>ROUND(verstecken!P10,1)</f>
        <v>113</v>
      </c>
      <c r="S22" s="325">
        <f>ROUND(verstecken!Q10,1)</f>
        <v>98.9</v>
      </c>
      <c r="T22" s="325">
        <f>ROUND(verstecken!R10,1)</f>
        <v>87.9</v>
      </c>
      <c r="U22" s="325">
        <f>ROUND(verstecken!S10,1)</f>
        <v>79.099999999999994</v>
      </c>
      <c r="W22" s="225"/>
    </row>
    <row r="23" spans="2:26" ht="15" customHeight="1" x14ac:dyDescent="0.25">
      <c r="B23" s="28"/>
      <c r="C23" s="29" t="s">
        <v>33</v>
      </c>
      <c r="D23" s="28"/>
      <c r="E23" s="30" t="s">
        <v>12</v>
      </c>
      <c r="F23" s="28"/>
      <c r="G23" s="31"/>
      <c r="H23" s="28"/>
      <c r="I23" s="38">
        <f>G25*G24/12</f>
        <v>250</v>
      </c>
      <c r="J23" s="33">
        <f t="shared" si="0"/>
        <v>4.1666666666666664E-2</v>
      </c>
      <c r="K23" s="34">
        <f t="shared" si="1"/>
        <v>1.4285714285714284</v>
      </c>
      <c r="L23" s="8"/>
      <c r="N23" s="332"/>
      <c r="O23" s="324">
        <v>6500</v>
      </c>
      <c r="P23" s="325">
        <f>ROUND(verstecken!N11,1)</f>
        <v>166.6</v>
      </c>
      <c r="Q23" s="325">
        <f>ROUND(verstecken!O11,1)</f>
        <v>138.80000000000001</v>
      </c>
      <c r="R23" s="325">
        <f>ROUND(verstecken!P11,1)</f>
        <v>119</v>
      </c>
      <c r="S23" s="325">
        <f>ROUND(verstecken!Q11,1)</f>
        <v>104.1</v>
      </c>
      <c r="T23" s="325">
        <f>ROUND(verstecken!R11,1)</f>
        <v>92.6</v>
      </c>
      <c r="U23" s="325">
        <f>ROUND(verstecken!S11,1)</f>
        <v>83.3</v>
      </c>
      <c r="W23" s="215"/>
      <c r="X23" s="215"/>
    </row>
    <row r="24" spans="2:26" ht="16.5" customHeight="1" x14ac:dyDescent="0.2">
      <c r="B24" s="28"/>
      <c r="C24" s="29"/>
      <c r="D24" s="78" t="s">
        <v>34</v>
      </c>
      <c r="E24" s="30" t="s">
        <v>35</v>
      </c>
      <c r="F24" s="28"/>
      <c r="G24" s="79">
        <v>15</v>
      </c>
      <c r="H24" s="28"/>
      <c r="I24" s="38"/>
      <c r="J24" s="33"/>
      <c r="K24" s="34"/>
      <c r="L24" s="8"/>
      <c r="N24" s="333" t="s">
        <v>26</v>
      </c>
      <c r="O24" s="324">
        <v>7000</v>
      </c>
      <c r="P24" s="325">
        <f>ROUND(verstecken!N12,1)</f>
        <v>175.1</v>
      </c>
      <c r="Q24" s="325">
        <f>ROUND(verstecken!O12,1)</f>
        <v>145.9</v>
      </c>
      <c r="R24" s="325">
        <f>ROUND(verstecken!P12,1)</f>
        <v>125</v>
      </c>
      <c r="S24" s="325">
        <f>ROUND(verstecken!Q12,1)</f>
        <v>109.4</v>
      </c>
      <c r="T24" s="325">
        <f>ROUND(verstecken!R12,1)</f>
        <v>97.3</v>
      </c>
      <c r="U24" s="325">
        <f>ROUND(verstecken!S12,1)</f>
        <v>87.5</v>
      </c>
    </row>
    <row r="25" spans="2:26" ht="15" customHeight="1" x14ac:dyDescent="0.2">
      <c r="B25" s="28"/>
      <c r="C25" s="29"/>
      <c r="D25" s="78" t="s">
        <v>36</v>
      </c>
      <c r="E25" s="30" t="s">
        <v>12</v>
      </c>
      <c r="F25" s="28"/>
      <c r="G25" s="80">
        <v>200</v>
      </c>
      <c r="H25" s="28"/>
      <c r="I25" s="38"/>
      <c r="J25" s="81"/>
      <c r="K25" s="34"/>
      <c r="L25" s="8"/>
      <c r="N25" s="332"/>
      <c r="O25" s="324">
        <v>7500</v>
      </c>
      <c r="P25" s="325">
        <f>ROUND(verstecken!N13,1)</f>
        <v>183.5</v>
      </c>
      <c r="Q25" s="325">
        <f>ROUND(verstecken!O13,1)</f>
        <v>152.9</v>
      </c>
      <c r="R25" s="325">
        <f>ROUND(verstecken!P13,1)</f>
        <v>131.1</v>
      </c>
      <c r="S25" s="326">
        <f>ROUND(verstecken!Q13,1)</f>
        <v>114.7</v>
      </c>
      <c r="T25" s="325">
        <f>ROUND(verstecken!R13,1)</f>
        <v>101.9</v>
      </c>
      <c r="U25" s="325">
        <f>ROUND(verstecken!S13,1)</f>
        <v>91.7</v>
      </c>
    </row>
    <row r="26" spans="2:26" ht="15" customHeight="1" x14ac:dyDescent="0.2">
      <c r="B26" s="28"/>
      <c r="C26" s="44" t="s">
        <v>37</v>
      </c>
      <c r="D26" s="82"/>
      <c r="E26" s="45" t="s">
        <v>12</v>
      </c>
      <c r="F26" s="44"/>
      <c r="G26" s="46"/>
      <c r="H26" s="44"/>
      <c r="I26" s="47">
        <f>I14+I12</f>
        <v>8895.68</v>
      </c>
      <c r="J26" s="48">
        <f>I26/$I$9</f>
        <v>1.4826133333333333</v>
      </c>
      <c r="K26" s="49">
        <f>I26/$U$8*12</f>
        <v>50.832457142857145</v>
      </c>
      <c r="L26" s="50"/>
      <c r="N26" s="332"/>
      <c r="O26" s="324">
        <v>8000</v>
      </c>
      <c r="P26" s="325">
        <f>ROUND(verstecken!N14,1)</f>
        <v>191.9</v>
      </c>
      <c r="Q26" s="325">
        <f>ROUND(verstecken!O14,1)</f>
        <v>159.9</v>
      </c>
      <c r="R26" s="325">
        <f>ROUND(verstecken!P14,1)</f>
        <v>137.1</v>
      </c>
      <c r="S26" s="325">
        <f>ROUND(verstecken!Q14,1)</f>
        <v>120</v>
      </c>
      <c r="T26" s="325">
        <f>ROUND(verstecken!R14,1)</f>
        <v>106.6</v>
      </c>
      <c r="U26" s="325">
        <f>ROUND(verstecken!S14,1)</f>
        <v>96</v>
      </c>
    </row>
    <row r="27" spans="2:26" ht="28.5" customHeight="1" x14ac:dyDescent="0.2">
      <c r="B27" s="77"/>
      <c r="C27" s="20"/>
      <c r="D27" s="28"/>
      <c r="E27" s="30"/>
      <c r="F27" s="28"/>
      <c r="G27" s="31"/>
      <c r="H27" s="28"/>
      <c r="I27" s="38"/>
      <c r="J27" s="33"/>
      <c r="K27" s="34"/>
      <c r="L27" s="50"/>
      <c r="N27" s="332"/>
      <c r="O27" s="324">
        <v>8500</v>
      </c>
      <c r="P27" s="325">
        <f>ROUND(verstecken!N15,1)</f>
        <v>200.4</v>
      </c>
      <c r="Q27" s="325">
        <f>ROUND(verstecken!O15,1)</f>
        <v>167</v>
      </c>
      <c r="R27" s="325">
        <f>ROUND(verstecken!P15,1)</f>
        <v>143.1</v>
      </c>
      <c r="S27" s="325">
        <f>ROUND(verstecken!Q15,1)</f>
        <v>125.2</v>
      </c>
      <c r="T27" s="325">
        <f>ROUND(verstecken!R15,1)</f>
        <v>111.3</v>
      </c>
      <c r="U27" s="325">
        <f>ROUND(verstecken!S15,1)</f>
        <v>100.2</v>
      </c>
    </row>
    <row r="28" spans="2:26" ht="15" customHeight="1" x14ac:dyDescent="0.2">
      <c r="B28" s="20">
        <f>MAX($A$1:B27)+1</f>
        <v>3</v>
      </c>
      <c r="C28" s="83" t="s">
        <v>40</v>
      </c>
      <c r="D28" s="84"/>
      <c r="E28" s="85" t="s">
        <v>12</v>
      </c>
      <c r="F28" s="83"/>
      <c r="G28" s="86"/>
      <c r="H28" s="87"/>
      <c r="I28" s="88">
        <f>(('Vollkosten Zusammenfassung'!G30/12*13*(1+'Vollkosten Zusammenfassung'!G11))+'Vollkosten Zusammenfassung'!I14)/'Vollkosten Zusammenfassung'!G29</f>
        <v>2666.4080000000004</v>
      </c>
      <c r="J28" s="89">
        <f>I28/$I$9</f>
        <v>0.44440133333333337</v>
      </c>
      <c r="K28" s="90">
        <f>I28/$U$8*12</f>
        <v>15.236617142857144</v>
      </c>
      <c r="L28" s="8"/>
      <c r="N28" s="332"/>
      <c r="O28" s="324">
        <v>9000</v>
      </c>
      <c r="P28" s="325">
        <f>ROUND(verstecken!N16,1)</f>
        <v>208.8</v>
      </c>
      <c r="Q28" s="325">
        <f>ROUND(verstecken!O16,1)</f>
        <v>174</v>
      </c>
      <c r="R28" s="325">
        <f>ROUND(verstecken!P16,1)</f>
        <v>149.19999999999999</v>
      </c>
      <c r="S28" s="325">
        <f>ROUND(verstecken!Q16,1)</f>
        <v>130.5</v>
      </c>
      <c r="T28" s="325">
        <f>ROUND(verstecken!R16,1)</f>
        <v>116</v>
      </c>
      <c r="U28" s="325">
        <f>ROUND(verstecken!S16,1)</f>
        <v>104.4</v>
      </c>
    </row>
    <row r="29" spans="2:26" ht="15" customHeight="1" x14ac:dyDescent="0.2">
      <c r="B29" s="20"/>
      <c r="C29" s="28"/>
      <c r="D29" s="78" t="s">
        <v>41</v>
      </c>
      <c r="E29" s="30" t="s">
        <v>42</v>
      </c>
      <c r="F29" s="28"/>
      <c r="G29" s="91">
        <v>10</v>
      </c>
      <c r="H29" s="28"/>
      <c r="I29" s="38"/>
      <c r="J29" s="33"/>
      <c r="K29" s="34"/>
      <c r="L29" s="50"/>
      <c r="N29" s="332"/>
      <c r="O29" s="324">
        <v>9500</v>
      </c>
      <c r="P29" s="325">
        <f>ROUND(verstecken!N17,1)</f>
        <v>217.3</v>
      </c>
      <c r="Q29" s="325">
        <f>ROUND(verstecken!O17,1)</f>
        <v>181.1</v>
      </c>
      <c r="R29" s="325">
        <f>ROUND(verstecken!P17,1)</f>
        <v>155.19999999999999</v>
      </c>
      <c r="S29" s="325">
        <f>ROUND(verstecken!Q17,1)</f>
        <v>135.80000000000001</v>
      </c>
      <c r="T29" s="325">
        <f>ROUND(verstecken!R17,1)</f>
        <v>120.7</v>
      </c>
      <c r="U29" s="325">
        <f>ROUND(verstecken!S17,1)</f>
        <v>108.6</v>
      </c>
    </row>
    <row r="30" spans="2:26" s="42" customFormat="1" ht="15" customHeight="1" x14ac:dyDescent="0.25">
      <c r="B30" s="20"/>
      <c r="C30" s="20"/>
      <c r="D30" s="78" t="s">
        <v>43</v>
      </c>
      <c r="E30" s="30" t="s">
        <v>12</v>
      </c>
      <c r="F30" s="20"/>
      <c r="G30" s="92">
        <v>20000</v>
      </c>
      <c r="H30" s="20"/>
      <c r="I30" s="55"/>
      <c r="J30" s="33"/>
      <c r="K30" s="56"/>
      <c r="L30" s="8"/>
      <c r="N30" s="334"/>
      <c r="O30" s="324">
        <v>10000</v>
      </c>
      <c r="P30" s="325">
        <f>ROUND(verstecken!N18,1)</f>
        <v>225.7</v>
      </c>
      <c r="Q30" s="325">
        <f>ROUND(verstecken!O18,1)</f>
        <v>188.1</v>
      </c>
      <c r="R30" s="325">
        <f>ROUND(verstecken!P18,1)</f>
        <v>161.19999999999999</v>
      </c>
      <c r="S30" s="325">
        <f>ROUND(verstecken!Q18,1)</f>
        <v>141.1</v>
      </c>
      <c r="T30" s="325">
        <f>ROUND(verstecken!R18,1)</f>
        <v>125.4</v>
      </c>
      <c r="U30" s="325">
        <f>ROUND(verstecken!S18,1)</f>
        <v>112.9</v>
      </c>
      <c r="V30" s="2"/>
      <c r="W30" s="2"/>
      <c r="X30" s="2"/>
      <c r="Y30" s="2"/>
      <c r="Z30" s="2"/>
    </row>
    <row r="31" spans="2:26" s="42" customFormat="1" ht="15" customHeight="1" x14ac:dyDescent="0.25">
      <c r="B31" s="20"/>
      <c r="C31" s="44" t="s">
        <v>44</v>
      </c>
      <c r="D31" s="44"/>
      <c r="E31" s="45" t="s">
        <v>12</v>
      </c>
      <c r="F31" s="44"/>
      <c r="G31" s="93"/>
      <c r="H31" s="44"/>
      <c r="I31" s="47">
        <f>I28+I26</f>
        <v>11562.088</v>
      </c>
      <c r="J31" s="48">
        <f>I31/$I$9</f>
        <v>1.9270146666666665</v>
      </c>
      <c r="K31" s="49">
        <f>I31/$U$8*12</f>
        <v>66.069074285714279</v>
      </c>
      <c r="L31" s="8"/>
      <c r="N31" s="334"/>
      <c r="O31" s="324">
        <v>10500</v>
      </c>
      <c r="P31" s="325">
        <f>ROUND(verstecken!N19,1)</f>
        <v>234.2</v>
      </c>
      <c r="Q31" s="325">
        <f>ROUND(verstecken!O19,1)</f>
        <v>195.1</v>
      </c>
      <c r="R31" s="325">
        <f>ROUND(verstecken!P19,1)</f>
        <v>167.3</v>
      </c>
      <c r="S31" s="325">
        <f>ROUND(verstecken!Q19,1)</f>
        <v>146.30000000000001</v>
      </c>
      <c r="T31" s="325">
        <f>ROUND(verstecken!R19,1)</f>
        <v>130.1</v>
      </c>
      <c r="U31" s="325">
        <f>ROUND(verstecken!S19,1)</f>
        <v>117.1</v>
      </c>
      <c r="V31" s="2"/>
      <c r="W31" s="2"/>
      <c r="X31" s="2"/>
      <c r="Y31" s="2"/>
      <c r="Z31" s="2"/>
    </row>
    <row r="32" spans="2:26" s="42" customFormat="1" ht="15" customHeight="1" thickBot="1" x14ac:dyDescent="0.3">
      <c r="B32" s="20"/>
      <c r="C32" s="20"/>
      <c r="D32" s="20"/>
      <c r="E32" s="53"/>
      <c r="F32" s="20"/>
      <c r="G32" s="94"/>
      <c r="H32" s="20"/>
      <c r="I32" s="55"/>
      <c r="J32" s="95"/>
      <c r="K32" s="56"/>
      <c r="L32" s="8"/>
      <c r="N32" s="335"/>
      <c r="O32" s="336">
        <v>11000</v>
      </c>
      <c r="P32" s="337">
        <f>ROUND(verstecken!N20,1)</f>
        <v>242.6</v>
      </c>
      <c r="Q32" s="337">
        <f>ROUND(verstecken!O20,1)</f>
        <v>202.2</v>
      </c>
      <c r="R32" s="337">
        <f>ROUND(verstecken!P20,1)</f>
        <v>173.3</v>
      </c>
      <c r="S32" s="337">
        <f>ROUND(verstecken!Q20,1)</f>
        <v>151.6</v>
      </c>
      <c r="T32" s="337">
        <f>ROUND(verstecken!R20,1)</f>
        <v>134.80000000000001</v>
      </c>
      <c r="U32" s="337">
        <f>ROUND(verstecken!S20,1)</f>
        <v>121.3</v>
      </c>
      <c r="V32"/>
      <c r="W32"/>
    </row>
    <row r="33" spans="1:23" s="42" customFormat="1" ht="15" customHeight="1" thickTop="1" x14ac:dyDescent="0.25">
      <c r="B33" s="20">
        <f>MAX($A$1:B32)+1</f>
        <v>4</v>
      </c>
      <c r="C33" s="83" t="s">
        <v>45</v>
      </c>
      <c r="D33" s="84"/>
      <c r="E33" s="85" t="s">
        <v>12</v>
      </c>
      <c r="F33" s="83"/>
      <c r="G33" s="86"/>
      <c r="H33" s="87"/>
      <c r="I33" s="88"/>
      <c r="J33" s="89"/>
      <c r="K33" s="90">
        <f>SUM(K34:K35)</f>
        <v>32.785987273793225</v>
      </c>
      <c r="L33" s="8"/>
      <c r="N33" s="2"/>
      <c r="O33" s="2"/>
      <c r="P33"/>
      <c r="Q33"/>
      <c r="R33"/>
      <c r="S33"/>
      <c r="T33"/>
      <c r="U33"/>
      <c r="V33"/>
      <c r="W33"/>
    </row>
    <row r="34" spans="1:23" s="42" customFormat="1" ht="14.25" customHeight="1" x14ac:dyDescent="0.25">
      <c r="B34" s="20"/>
      <c r="C34" s="29" t="s">
        <v>46</v>
      </c>
      <c r="D34" s="96"/>
      <c r="E34" s="30" t="s">
        <v>17</v>
      </c>
      <c r="F34" s="96"/>
      <c r="G34" s="75">
        <f>T8-T12</f>
        <v>0.16457142857142848</v>
      </c>
      <c r="H34" s="97" t="s">
        <v>47</v>
      </c>
      <c r="I34" s="38"/>
      <c r="J34" s="33"/>
      <c r="K34" s="34">
        <f>K31/T12-K31</f>
        <v>13.014974961891724</v>
      </c>
      <c r="L34" s="50"/>
      <c r="V34"/>
      <c r="W34"/>
    </row>
    <row r="35" spans="1:23" s="42" customFormat="1" ht="15" customHeight="1" x14ac:dyDescent="0.25">
      <c r="B35" s="77"/>
      <c r="C35" s="29" t="s">
        <v>48</v>
      </c>
      <c r="D35" s="28"/>
      <c r="E35" s="30" t="s">
        <v>17</v>
      </c>
      <c r="F35" s="28"/>
      <c r="G35" s="41">
        <v>0.8</v>
      </c>
      <c r="H35" s="20"/>
      <c r="I35" s="55"/>
      <c r="J35" s="33"/>
      <c r="K35" s="34">
        <f>(K31+K34)/G35-(K31+K34)</f>
        <v>19.771012311901501</v>
      </c>
      <c r="L35" s="8"/>
      <c r="V35"/>
      <c r="W35"/>
    </row>
    <row r="36" spans="1:23" ht="15" customHeight="1" thickBot="1" x14ac:dyDescent="0.3">
      <c r="B36" s="20">
        <f>MAX($A$1:B35)+1</f>
        <v>5</v>
      </c>
      <c r="C36" s="199" t="s">
        <v>49</v>
      </c>
      <c r="D36" s="200"/>
      <c r="E36" s="201" t="s">
        <v>12</v>
      </c>
      <c r="F36" s="200"/>
      <c r="G36" s="202"/>
      <c r="H36" s="200"/>
      <c r="I36" s="203"/>
      <c r="J36" s="204"/>
      <c r="K36" s="205">
        <f>ROUND(K31+K34+K35,1)</f>
        <v>98.9</v>
      </c>
      <c r="L36" s="8"/>
      <c r="V36"/>
      <c r="W36"/>
    </row>
    <row r="37" spans="1:23" ht="16.5" thickTop="1" x14ac:dyDescent="0.25">
      <c r="V37"/>
      <c r="W37"/>
    </row>
    <row r="38" spans="1:23" ht="39" x14ac:dyDescent="0.25">
      <c r="A38" s="225"/>
      <c r="B38" s="274" t="s">
        <v>121</v>
      </c>
      <c r="C38" s="274"/>
      <c r="D38" s="285"/>
      <c r="E38" s="275" t="s">
        <v>3</v>
      </c>
      <c r="F38" s="284"/>
      <c r="G38" s="275" t="s">
        <v>4</v>
      </c>
      <c r="H38" s="283" t="s">
        <v>120</v>
      </c>
      <c r="I38" s="283" t="s">
        <v>119</v>
      </c>
      <c r="J38" s="283"/>
      <c r="K38" s="283" t="s">
        <v>7</v>
      </c>
      <c r="L38" s="225"/>
      <c r="N38" s="274" t="s">
        <v>8</v>
      </c>
      <c r="O38" s="275"/>
      <c r="P38" s="274"/>
      <c r="Q38" s="275"/>
      <c r="R38" s="282" t="s">
        <v>9</v>
      </c>
      <c r="V38"/>
    </row>
    <row r="39" spans="1:23" ht="15.75" x14ac:dyDescent="0.25">
      <c r="A39" s="225"/>
      <c r="B39" s="18"/>
      <c r="C39" s="18"/>
      <c r="D39" s="18"/>
      <c r="E39" s="18"/>
      <c r="F39" s="18"/>
      <c r="G39" s="18"/>
      <c r="H39" s="18"/>
      <c r="I39" s="18"/>
      <c r="J39" s="18"/>
      <c r="K39" s="18"/>
      <c r="L39" s="225"/>
      <c r="N39" s="247" t="s">
        <v>117</v>
      </c>
      <c r="O39" s="247"/>
      <c r="P39" s="247"/>
      <c r="Q39" s="247"/>
      <c r="R39" s="281">
        <v>500</v>
      </c>
      <c r="V39"/>
    </row>
    <row r="40" spans="1:23" ht="15.75" x14ac:dyDescent="0.25">
      <c r="A40" s="225"/>
      <c r="B40" s="237">
        <f>MAX($A$1:B39)+1</f>
        <v>6</v>
      </c>
      <c r="C40" s="254" t="s">
        <v>118</v>
      </c>
      <c r="D40" s="256"/>
      <c r="E40" s="255" t="s">
        <v>12</v>
      </c>
      <c r="F40" s="254"/>
      <c r="G40" s="259"/>
      <c r="H40" s="252"/>
      <c r="I40" s="251"/>
      <c r="J40" s="250"/>
      <c r="K40" s="249">
        <f>'Vollkosten Zusammenfassung'!K36</f>
        <v>98.9</v>
      </c>
      <c r="L40" s="225"/>
      <c r="N40" s="247" t="s">
        <v>94</v>
      </c>
      <c r="O40" s="247"/>
      <c r="P40" s="247"/>
      <c r="Q40" s="247"/>
      <c r="R40" s="242">
        <f>R50</f>
        <v>2</v>
      </c>
      <c r="V40"/>
    </row>
    <row r="41" spans="1:23" ht="16.5" thickBot="1" x14ac:dyDescent="0.3">
      <c r="A41" s="225"/>
      <c r="B41" s="237"/>
      <c r="C41" s="247"/>
      <c r="D41" s="245"/>
      <c r="E41" s="246"/>
      <c r="F41" s="245"/>
      <c r="G41" s="244"/>
      <c r="H41" s="243"/>
      <c r="I41" s="242"/>
      <c r="J41" s="241"/>
      <c r="K41" s="240"/>
      <c r="L41" s="225"/>
      <c r="N41" s="277" t="s">
        <v>115</v>
      </c>
      <c r="O41" s="277"/>
      <c r="P41" s="277"/>
      <c r="Q41" s="277"/>
      <c r="R41" s="277">
        <f>R39*R40</f>
        <v>1000</v>
      </c>
      <c r="V41"/>
    </row>
    <row r="42" spans="1:23" ht="15.75" x14ac:dyDescent="0.25">
      <c r="A42" s="225"/>
      <c r="B42" s="237">
        <f>MAX($A$1:B41)+1</f>
        <v>7</v>
      </c>
      <c r="C42" s="254" t="s">
        <v>116</v>
      </c>
      <c r="D42" s="256"/>
      <c r="E42" s="255" t="s">
        <v>12</v>
      </c>
      <c r="F42" s="254"/>
      <c r="G42" s="259"/>
      <c r="H42" s="252"/>
      <c r="I42" s="280">
        <v>2000</v>
      </c>
      <c r="J42" s="279"/>
      <c r="K42" s="278">
        <f>I42/($R$41*12)</f>
        <v>0.16666666666666666</v>
      </c>
      <c r="L42" s="225"/>
      <c r="N42" s="215"/>
      <c r="O42" s="215"/>
      <c r="P42" s="215"/>
      <c r="Q42" s="215"/>
      <c r="R42" s="215"/>
      <c r="V42"/>
    </row>
    <row r="43" spans="1:23" ht="15.75" x14ac:dyDescent="0.25">
      <c r="A43" s="225"/>
      <c r="B43" s="237"/>
      <c r="C43" s="247"/>
      <c r="D43" s="245"/>
      <c r="E43" s="246"/>
      <c r="F43" s="245"/>
      <c r="G43" s="244"/>
      <c r="H43" s="243"/>
      <c r="I43" s="242"/>
      <c r="J43" s="241"/>
      <c r="K43" s="240"/>
      <c r="L43" s="225"/>
      <c r="N43" s="274" t="s">
        <v>109</v>
      </c>
      <c r="O43" s="275"/>
      <c r="P43" s="274"/>
      <c r="Q43" s="275"/>
      <c r="R43" s="274"/>
      <c r="V43"/>
    </row>
    <row r="44" spans="1:23" ht="15.75" x14ac:dyDescent="0.25">
      <c r="A44" s="225"/>
      <c r="B44" s="237">
        <f>MAX($A$1:B43)+1</f>
        <v>8</v>
      </c>
      <c r="C44" s="254" t="s">
        <v>114</v>
      </c>
      <c r="D44" s="256"/>
      <c r="E44" s="255" t="s">
        <v>12</v>
      </c>
      <c r="F44" s="254"/>
      <c r="G44" s="259"/>
      <c r="H44" s="252"/>
      <c r="I44" s="251">
        <f>SUM(I45:I49)</f>
        <v>42269</v>
      </c>
      <c r="J44" s="250"/>
      <c r="K44" s="249">
        <f>SUM(K45:K49)</f>
        <v>3.522416666666667</v>
      </c>
      <c r="L44" s="225"/>
      <c r="N44" s="248" t="s">
        <v>110</v>
      </c>
      <c r="O44" s="248"/>
      <c r="P44" s="248"/>
      <c r="Q44" s="248"/>
      <c r="R44" s="272">
        <v>1.5</v>
      </c>
      <c r="V44"/>
    </row>
    <row r="45" spans="1:23" ht="15.75" x14ac:dyDescent="0.25">
      <c r="A45" s="225"/>
      <c r="B45" s="237"/>
      <c r="C45" s="247" t="s">
        <v>113</v>
      </c>
      <c r="D45" s="245"/>
      <c r="E45" s="246" t="s">
        <v>12</v>
      </c>
      <c r="F45" s="245"/>
      <c r="G45" s="244"/>
      <c r="H45" s="243"/>
      <c r="I45" s="271">
        <v>2000</v>
      </c>
      <c r="J45" s="241"/>
      <c r="K45" s="240">
        <f>I45/($R$41*12)</f>
        <v>0.16666666666666666</v>
      </c>
      <c r="L45" s="225"/>
      <c r="N45" s="248" t="s">
        <v>108</v>
      </c>
      <c r="O45" s="248"/>
      <c r="P45" s="248"/>
      <c r="Q45" s="248"/>
      <c r="R45" s="271">
        <v>1000</v>
      </c>
      <c r="V45"/>
    </row>
    <row r="46" spans="1:23" ht="15.75" x14ac:dyDescent="0.25">
      <c r="A46" s="225"/>
      <c r="B46" s="237"/>
      <c r="C46" s="247" t="s">
        <v>112</v>
      </c>
      <c r="D46" s="245"/>
      <c r="E46" s="246" t="s">
        <v>12</v>
      </c>
      <c r="F46" s="245"/>
      <c r="G46" s="244"/>
      <c r="H46" s="243"/>
      <c r="I46" s="271">
        <v>1500</v>
      </c>
      <c r="J46" s="241"/>
      <c r="K46" s="240">
        <f>I46/($R$41*12)</f>
        <v>0.125</v>
      </c>
      <c r="L46" s="225"/>
      <c r="N46" s="248" t="s">
        <v>106</v>
      </c>
      <c r="O46" s="248"/>
      <c r="P46" s="248"/>
      <c r="Q46" s="248"/>
      <c r="R46" s="248">
        <f>R45*R44</f>
        <v>1500</v>
      </c>
      <c r="V46"/>
    </row>
    <row r="47" spans="1:23" ht="15.75" x14ac:dyDescent="0.25">
      <c r="A47" s="225"/>
      <c r="B47" s="237"/>
      <c r="C47" s="247" t="s">
        <v>111</v>
      </c>
      <c r="D47" s="245"/>
      <c r="E47" s="246" t="s">
        <v>12</v>
      </c>
      <c r="F47" s="245"/>
      <c r="G47" s="244"/>
      <c r="H47" s="273">
        <v>10</v>
      </c>
      <c r="I47" s="242">
        <f>H47*$K$40*12</f>
        <v>11868</v>
      </c>
      <c r="J47" s="241"/>
      <c r="K47" s="240">
        <f>I47/($R$41*12)</f>
        <v>0.98899999999999999</v>
      </c>
      <c r="L47" s="225"/>
      <c r="N47" s="248" t="s">
        <v>103</v>
      </c>
      <c r="O47" s="248"/>
      <c r="P47" s="248"/>
      <c r="Q47" s="248"/>
      <c r="R47" s="264">
        <v>0.01</v>
      </c>
      <c r="V47"/>
    </row>
    <row r="48" spans="1:23" ht="15.75" x14ac:dyDescent="0.25">
      <c r="A48" s="225"/>
      <c r="B48" s="237"/>
      <c r="C48" s="247" t="s">
        <v>109</v>
      </c>
      <c r="D48" s="245"/>
      <c r="E48" s="246" t="s">
        <v>12</v>
      </c>
      <c r="F48" s="245"/>
      <c r="G48" s="244"/>
      <c r="H48" s="243"/>
      <c r="I48" s="242">
        <f>R46*12</f>
        <v>18000</v>
      </c>
      <c r="J48" s="241"/>
      <c r="K48" s="240">
        <f>I48/($R$41*12)</f>
        <v>1.5</v>
      </c>
      <c r="L48" s="225"/>
      <c r="N48" s="248" t="s">
        <v>102</v>
      </c>
      <c r="O48" s="248"/>
      <c r="P48" s="248"/>
      <c r="Q48" s="248"/>
      <c r="R48" s="248">
        <f>R45*R47</f>
        <v>10</v>
      </c>
      <c r="V48"/>
    </row>
    <row r="49" spans="1:27" ht="15.75" x14ac:dyDescent="0.25">
      <c r="A49" s="225"/>
      <c r="B49" s="237"/>
      <c r="C49" s="247" t="s">
        <v>143</v>
      </c>
      <c r="D49" s="245"/>
      <c r="E49" s="246" t="s">
        <v>12</v>
      </c>
      <c r="F49" s="245"/>
      <c r="G49" s="244"/>
      <c r="H49" s="270">
        <f>R48*H50</f>
        <v>7.5</v>
      </c>
      <c r="I49" s="242">
        <f>H49*$K$40*12</f>
        <v>8901</v>
      </c>
      <c r="J49" s="241"/>
      <c r="K49" s="240">
        <f>I49/($R$41*12)</f>
        <v>0.74175000000000002</v>
      </c>
      <c r="L49" s="225"/>
      <c r="N49" s="248" t="s">
        <v>100</v>
      </c>
      <c r="O49" s="248"/>
      <c r="P49" s="248"/>
      <c r="Q49" s="248"/>
      <c r="R49" s="257">
        <v>0.2</v>
      </c>
      <c r="V49"/>
    </row>
    <row r="50" spans="1:27" ht="15.75" x14ac:dyDescent="0.25">
      <c r="A50" s="225"/>
      <c r="B50" s="237"/>
      <c r="C50" s="269" t="s">
        <v>105</v>
      </c>
      <c r="D50" s="245"/>
      <c r="E50" s="268" t="s">
        <v>104</v>
      </c>
      <c r="F50" s="267"/>
      <c r="G50" s="266"/>
      <c r="H50" s="265">
        <v>0.75</v>
      </c>
      <c r="I50" s="242"/>
      <c r="J50" s="241"/>
      <c r="K50" s="240"/>
      <c r="L50" s="225"/>
      <c r="N50" s="248" t="s">
        <v>99</v>
      </c>
      <c r="O50" s="248"/>
      <c r="P50" s="248"/>
      <c r="Q50" s="248"/>
      <c r="R50" s="248">
        <f>R48*R49</f>
        <v>2</v>
      </c>
      <c r="V50"/>
    </row>
    <row r="51" spans="1:27" ht="15.75" x14ac:dyDescent="0.25">
      <c r="A51" s="225"/>
      <c r="B51" s="237"/>
      <c r="C51" s="247"/>
      <c r="D51" s="262"/>
      <c r="E51" s="246"/>
      <c r="F51" s="262"/>
      <c r="G51" s="237"/>
      <c r="H51" s="261"/>
      <c r="I51" s="260"/>
      <c r="J51" s="241"/>
      <c r="K51" s="240"/>
      <c r="L51" s="225"/>
      <c r="N51" s="248"/>
      <c r="O51" s="248"/>
      <c r="P51" s="248"/>
      <c r="Q51" s="248"/>
      <c r="R51" s="248"/>
      <c r="V51"/>
    </row>
    <row r="52" spans="1:27" ht="16.5" thickBot="1" x14ac:dyDescent="0.3">
      <c r="A52" s="225"/>
      <c r="B52" s="237">
        <f>MAX($A$1:B51)+1</f>
        <v>9</v>
      </c>
      <c r="C52" s="254" t="s">
        <v>101</v>
      </c>
      <c r="D52" s="256"/>
      <c r="E52" s="255" t="s">
        <v>12</v>
      </c>
      <c r="F52" s="254"/>
      <c r="G52" s="259"/>
      <c r="H52" s="258">
        <v>5</v>
      </c>
      <c r="I52" s="251">
        <f>H52*K40*12</f>
        <v>5934</v>
      </c>
      <c r="J52" s="250"/>
      <c r="K52" s="249">
        <f>I52/(R41*12)</f>
        <v>0.4945</v>
      </c>
      <c r="L52" s="225"/>
      <c r="N52" s="239" t="s">
        <v>97</v>
      </c>
      <c r="O52" s="239"/>
      <c r="P52" s="239"/>
      <c r="Q52" s="239"/>
      <c r="R52" s="238">
        <f>R46/R50</f>
        <v>750</v>
      </c>
      <c r="V52"/>
    </row>
    <row r="53" spans="1:27" ht="16.5" thickTop="1" x14ac:dyDescent="0.25">
      <c r="A53" s="225"/>
      <c r="B53" s="237"/>
      <c r="C53" s="247"/>
      <c r="D53" s="245"/>
      <c r="E53" s="246"/>
      <c r="F53" s="245"/>
      <c r="G53" s="244"/>
      <c r="H53" s="243"/>
      <c r="I53" s="242"/>
      <c r="J53" s="241"/>
      <c r="K53" s="240"/>
      <c r="L53" s="225"/>
      <c r="V53"/>
      <c r="Y53" s="98"/>
      <c r="AA53" s="99"/>
    </row>
    <row r="54" spans="1:27" ht="15.75" x14ac:dyDescent="0.25">
      <c r="A54" s="225"/>
      <c r="B54" s="237">
        <f>MAX($A$1:B53)+1</f>
        <v>10</v>
      </c>
      <c r="C54" s="254" t="s">
        <v>98</v>
      </c>
      <c r="D54" s="256"/>
      <c r="E54" s="255"/>
      <c r="F54" s="254"/>
      <c r="G54" s="253">
        <v>0.2</v>
      </c>
      <c r="H54" s="252"/>
      <c r="I54" s="251"/>
      <c r="J54" s="250"/>
      <c r="K54" s="249">
        <f>(K40+K42+K44+K52)*$G$54</f>
        <v>20.616716666666672</v>
      </c>
      <c r="L54" s="225"/>
      <c r="V54"/>
      <c r="Y54" s="98"/>
      <c r="AA54" s="99"/>
    </row>
    <row r="55" spans="1:27" ht="15.75" x14ac:dyDescent="0.25">
      <c r="A55" s="225"/>
      <c r="B55" s="237"/>
      <c r="C55" s="247"/>
      <c r="D55" s="245"/>
      <c r="E55" s="246"/>
      <c r="F55" s="245"/>
      <c r="G55" s="244"/>
      <c r="H55" s="243"/>
      <c r="I55" s="242"/>
      <c r="J55" s="241"/>
      <c r="K55" s="240"/>
      <c r="L55" s="225"/>
      <c r="V55"/>
      <c r="W55"/>
    </row>
    <row r="56" spans="1:27" ht="16.5" thickBot="1" x14ac:dyDescent="0.3">
      <c r="A56" s="225"/>
      <c r="B56" s="237">
        <f>MAX($A$1:B55)+1</f>
        <v>11</v>
      </c>
      <c r="C56" s="236" t="s">
        <v>96</v>
      </c>
      <c r="D56" s="233"/>
      <c r="E56" s="235"/>
      <c r="F56" s="233"/>
      <c r="G56" s="234"/>
      <c r="H56" s="233"/>
      <c r="I56" s="232"/>
      <c r="J56" s="231"/>
      <c r="K56" s="230">
        <f>K40+K42+K44+K52+K54</f>
        <v>123.70030000000003</v>
      </c>
      <c r="L56" s="225"/>
      <c r="P56"/>
      <c r="Q56"/>
      <c r="R56"/>
      <c r="S56"/>
      <c r="T56"/>
      <c r="U56"/>
      <c r="V56"/>
      <c r="W56"/>
    </row>
    <row r="57" spans="1:27" ht="16.5" thickTop="1" x14ac:dyDescent="0.25">
      <c r="A57" s="225"/>
      <c r="B57" s="225"/>
      <c r="C57" s="225"/>
      <c r="D57" s="225"/>
      <c r="E57" s="225"/>
      <c r="F57" s="225"/>
      <c r="G57" s="225"/>
      <c r="H57" s="225"/>
      <c r="I57" s="225"/>
      <c r="J57" s="225"/>
      <c r="K57" s="286"/>
      <c r="L57" s="225"/>
      <c r="P57"/>
      <c r="Q57"/>
      <c r="R57"/>
      <c r="S57"/>
      <c r="T57"/>
      <c r="U57"/>
      <c r="V57"/>
      <c r="W57"/>
    </row>
    <row r="58" spans="1:27" ht="15" x14ac:dyDescent="0.25">
      <c r="B58" s="101" t="s">
        <v>50</v>
      </c>
      <c r="C58" s="101" t="s">
        <v>51</v>
      </c>
      <c r="D58" s="101"/>
      <c r="J58" s="42"/>
    </row>
    <row r="64" spans="1:27" x14ac:dyDescent="0.2">
      <c r="B64" s="8"/>
      <c r="C64" s="8"/>
      <c r="D64" s="8"/>
      <c r="E64" s="8"/>
      <c r="F64" s="8"/>
      <c r="G64" s="8"/>
      <c r="H64" s="8"/>
      <c r="I64" s="8"/>
      <c r="J64" s="8"/>
    </row>
    <row r="65" spans="5:7" x14ac:dyDescent="0.2">
      <c r="E65" s="2"/>
      <c r="G65" s="2"/>
    </row>
    <row r="66" spans="5:7" x14ac:dyDescent="0.2">
      <c r="E66" s="2"/>
      <c r="G66" s="2"/>
    </row>
    <row r="67" spans="5:7" x14ac:dyDescent="0.2">
      <c r="E67" s="2"/>
      <c r="G67" s="2"/>
    </row>
    <row r="68" spans="5:7" x14ac:dyDescent="0.2">
      <c r="E68" s="2"/>
      <c r="G68" s="2"/>
    </row>
    <row r="69" spans="5:7" x14ac:dyDescent="0.2">
      <c r="E69" s="2"/>
      <c r="G69" s="2"/>
    </row>
    <row r="70" spans="5:7" x14ac:dyDescent="0.2">
      <c r="E70" s="2"/>
      <c r="G70" s="2"/>
    </row>
    <row r="71" spans="5:7" x14ac:dyDescent="0.2">
      <c r="E71" s="2"/>
      <c r="G71" s="2"/>
    </row>
    <row r="72" spans="5:7" x14ac:dyDescent="0.2">
      <c r="E72" s="2"/>
      <c r="G72" s="2"/>
    </row>
    <row r="73" spans="5:7" x14ac:dyDescent="0.2">
      <c r="E73" s="2"/>
      <c r="G73" s="2"/>
    </row>
    <row r="74" spans="5:7" x14ac:dyDescent="0.2">
      <c r="E74" s="2"/>
      <c r="G74" s="2"/>
    </row>
    <row r="75" spans="5:7" x14ac:dyDescent="0.2">
      <c r="E75" s="2"/>
      <c r="G75" s="2"/>
    </row>
    <row r="76" spans="5:7" x14ac:dyDescent="0.2">
      <c r="E76" s="2"/>
      <c r="G76" s="2"/>
    </row>
    <row r="77" spans="5:7" x14ac:dyDescent="0.2">
      <c r="E77" s="2"/>
      <c r="G77" s="2"/>
    </row>
    <row r="78" spans="5:7" x14ac:dyDescent="0.2">
      <c r="E78" s="2"/>
      <c r="G78" s="2"/>
    </row>
    <row r="79" spans="5:7" x14ac:dyDescent="0.2">
      <c r="E79" s="2"/>
      <c r="G79" s="2"/>
    </row>
    <row r="80" spans="5:7" x14ac:dyDescent="0.2">
      <c r="E80" s="2"/>
      <c r="G80" s="2"/>
    </row>
    <row r="81" spans="2:10" x14ac:dyDescent="0.2">
      <c r="E81" s="2"/>
      <c r="G81" s="2"/>
    </row>
    <row r="82" spans="2:10" x14ac:dyDescent="0.2">
      <c r="E82" s="2"/>
      <c r="G82" s="2"/>
    </row>
    <row r="83" spans="2:10" x14ac:dyDescent="0.2">
      <c r="E83" s="2"/>
      <c r="G83" s="2"/>
    </row>
    <row r="84" spans="2:10" x14ac:dyDescent="0.2">
      <c r="B84" s="8"/>
      <c r="C84" s="8"/>
      <c r="D84" s="8"/>
      <c r="E84" s="8"/>
      <c r="F84" s="8"/>
      <c r="G84" s="8"/>
      <c r="H84" s="8"/>
      <c r="I84" s="8"/>
      <c r="J84" s="8"/>
    </row>
    <row r="85" spans="2:10" x14ac:dyDescent="0.2">
      <c r="D85" s="102"/>
      <c r="E85" s="102"/>
      <c r="G85" s="2"/>
    </row>
    <row r="86" spans="2:10" ht="15" x14ac:dyDescent="0.25">
      <c r="B86" s="215"/>
      <c r="C86" s="215"/>
      <c r="D86" s="215"/>
      <c r="E86" s="215"/>
      <c r="F86" s="215"/>
      <c r="G86" s="215"/>
    </row>
    <row r="87" spans="2:10" x14ac:dyDescent="0.2">
      <c r="E87" s="2"/>
      <c r="G87" s="2"/>
    </row>
    <row r="88" spans="2:10" x14ac:dyDescent="0.2">
      <c r="E88" s="2"/>
      <c r="G88" s="2"/>
    </row>
  </sheetData>
  <sheetProtection algorithmName="SHA-512" hashValue="BFvxb3nFf9fGlHz8/+VHD8cJjuXbP9d33Lve55ucvIm2I46B8RcsJfQOMpb2vUgqDIFKoeGOZsEgyrUjuBpG1A==" saltValue="issra891ncpYo6lhD8Ie4g==" spinCount="100000" sheet="1" objects="1" scenarios="1"/>
  <conditionalFormatting sqref="P18:U32">
    <cfRule type="cellIs" dxfId="17" priority="4" stopIfTrue="1" operator="equal">
      <formula>$K$36</formula>
    </cfRule>
  </conditionalFormatting>
  <conditionalFormatting sqref="P18:U31">
    <cfRule type="expression" dxfId="16" priority="35" stopIfTrue="1">
      <formula>IFERROR(MATCH($K$36,$P18:$U18,0),0)&gt;0</formula>
    </cfRule>
    <cfRule type="expression" dxfId="15" priority="36" stopIfTrue="1">
      <formula>(IFERROR(MATCH($K$36,P$16:P$37,0),0))&gt;0</formula>
    </cfRule>
  </conditionalFormatting>
  <dataValidations count="1">
    <dataValidation type="list" errorStyle="warning" allowBlank="1" showInputMessage="1" showErrorMessage="1" errorTitle="Warnung" error="Nur 500er-Schritte eingeben, sonst funktioniert die Tabelle &quot;Vollkosten pro Stunde&quot; nicht" sqref="I9">
      <formula1>$O$18:$O$32</formula1>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election activeCell="I29" sqref="I29"/>
    </sheetView>
  </sheetViews>
  <sheetFormatPr defaultColWidth="11" defaultRowHeight="15.75" x14ac:dyDescent="0.25"/>
  <cols>
    <col min="1" max="1" width="2.875" style="106" customWidth="1"/>
    <col min="2" max="2" width="5.75" style="106" customWidth="1"/>
    <col min="3" max="3" width="31.75" style="106" customWidth="1"/>
    <col min="4" max="4" width="8" style="106" customWidth="1"/>
    <col min="5" max="5" width="1.5" style="106" customWidth="1"/>
    <col min="6" max="6" width="10.875" style="130" customWidth="1"/>
    <col min="7" max="7" width="1.5" style="106" customWidth="1"/>
    <col min="8" max="8" width="16.75" style="106" customWidth="1"/>
    <col min="9" max="9" width="14" style="106" customWidth="1"/>
    <col min="10" max="16" width="8.625" style="106" customWidth="1"/>
    <col min="17" max="16384" width="11" style="106"/>
  </cols>
  <sheetData>
    <row r="1" spans="1:19" x14ac:dyDescent="0.25">
      <c r="A1" s="103" t="s">
        <v>2</v>
      </c>
      <c r="B1" s="103"/>
      <c r="C1" s="104"/>
      <c r="D1" s="12" t="s">
        <v>3</v>
      </c>
      <c r="E1" s="105"/>
      <c r="F1" s="12" t="s">
        <v>4</v>
      </c>
      <c r="G1" s="13"/>
      <c r="H1" s="12" t="s">
        <v>5</v>
      </c>
      <c r="I1" s="12" t="s">
        <v>7</v>
      </c>
      <c r="J1" s="8"/>
      <c r="K1" s="8"/>
      <c r="L1" s="8"/>
      <c r="M1" s="8"/>
      <c r="N1" s="8"/>
      <c r="O1" s="8"/>
      <c r="P1" s="8"/>
    </row>
    <row r="2" spans="1:19" x14ac:dyDescent="0.25">
      <c r="A2" s="107">
        <f>MAX($A$1:A1)+1</f>
        <v>1</v>
      </c>
      <c r="B2" s="108" t="s">
        <v>10</v>
      </c>
      <c r="C2" s="100"/>
      <c r="D2" s="109"/>
      <c r="E2" s="110"/>
      <c r="F2" s="109"/>
      <c r="G2" s="111"/>
      <c r="H2" s="109"/>
      <c r="I2" s="109"/>
      <c r="J2" s="8"/>
      <c r="K2" s="8"/>
      <c r="L2" s="8"/>
      <c r="M2" s="8"/>
      <c r="N2" s="8"/>
      <c r="O2" s="8"/>
      <c r="P2" s="8"/>
    </row>
    <row r="3" spans="1:19" x14ac:dyDescent="0.25">
      <c r="A3" s="112"/>
      <c r="B3" s="101" t="s">
        <v>11</v>
      </c>
      <c r="C3" s="8"/>
      <c r="D3" s="113" t="s">
        <v>12</v>
      </c>
      <c r="E3" s="2"/>
      <c r="F3" s="7"/>
      <c r="G3" s="8"/>
      <c r="H3" s="114">
        <f>'Vollkosten Zusammenfassung'!I9+L4</f>
        <v>6000</v>
      </c>
      <c r="I3" s="115">
        <f>H3/'Vollkosten Zusammenfassung'!$U$8*12</f>
        <v>34.285714285714285</v>
      </c>
      <c r="K3" s="11" t="s">
        <v>38</v>
      </c>
      <c r="L3" s="116"/>
      <c r="M3" s="116"/>
      <c r="N3" s="116"/>
      <c r="O3" s="116" t="s">
        <v>39</v>
      </c>
      <c r="P3" s="117"/>
      <c r="Q3" s="118"/>
      <c r="R3" s="119"/>
      <c r="S3" s="119"/>
    </row>
    <row r="4" spans="1:19" x14ac:dyDescent="0.25">
      <c r="A4" s="112"/>
      <c r="B4" s="101" t="s">
        <v>28</v>
      </c>
      <c r="C4" s="8"/>
      <c r="D4" s="113" t="s">
        <v>12</v>
      </c>
      <c r="E4" s="2"/>
      <c r="F4" s="7"/>
      <c r="G4" s="8"/>
      <c r="H4" s="114">
        <f>'Vollkosten Zusammenfassung'!I10</f>
        <v>480</v>
      </c>
      <c r="I4" s="115">
        <f>H4/'Vollkosten Zusammenfassung'!$U$8*12</f>
        <v>2.7428571428571429</v>
      </c>
      <c r="K4" s="119"/>
      <c r="M4" s="120"/>
      <c r="N4" s="121">
        <v>0.5</v>
      </c>
      <c r="O4" s="121">
        <f>N4+0.1</f>
        <v>0.6</v>
      </c>
      <c r="P4" s="121">
        <f>O4+0.1</f>
        <v>0.7</v>
      </c>
      <c r="Q4" s="121">
        <f>P4+0.1</f>
        <v>0.79999999999999993</v>
      </c>
      <c r="R4" s="121">
        <f>Q4+0.1</f>
        <v>0.89999999999999991</v>
      </c>
      <c r="S4" s="121">
        <f>R4+0.1</f>
        <v>0.99999999999999989</v>
      </c>
    </row>
    <row r="5" spans="1:19" x14ac:dyDescent="0.25">
      <c r="A5" s="112"/>
      <c r="B5" s="101" t="s">
        <v>52</v>
      </c>
      <c r="C5" s="8"/>
      <c r="D5" s="113" t="s">
        <v>17</v>
      </c>
      <c r="E5" s="122"/>
      <c r="F5" s="123">
        <f>'Vollkosten Zusammenfassung'!G11</f>
        <v>0.17</v>
      </c>
      <c r="G5" s="124"/>
      <c r="H5" s="125">
        <f>F5*(H3+H4)</f>
        <v>1101.6000000000001</v>
      </c>
      <c r="I5" s="115">
        <f>H5/'Vollkosten Zusammenfassung'!$U$8*12</f>
        <v>6.2948571428571443</v>
      </c>
      <c r="K5" s="119"/>
      <c r="L5" s="120"/>
      <c r="M5" s="120">
        <f>I30</f>
        <v>112.97721321086573</v>
      </c>
      <c r="N5" s="121">
        <v>-0.2</v>
      </c>
      <c r="O5" s="121">
        <v>-0.1</v>
      </c>
      <c r="P5" s="121">
        <v>0</v>
      </c>
      <c r="Q5" s="121">
        <v>0.1</v>
      </c>
      <c r="R5" s="121">
        <v>0.2</v>
      </c>
      <c r="S5" s="121">
        <v>0.3</v>
      </c>
    </row>
    <row r="6" spans="1:19" x14ac:dyDescent="0.25">
      <c r="A6" s="112"/>
      <c r="B6" s="126" t="s">
        <v>53</v>
      </c>
      <c r="C6" s="50"/>
      <c r="D6" s="113" t="s">
        <v>12</v>
      </c>
      <c r="E6" s="42"/>
      <c r="F6" s="127"/>
      <c r="G6" s="50"/>
      <c r="H6" s="128">
        <f>H3+H4+H5</f>
        <v>7581.6</v>
      </c>
      <c r="I6" s="129">
        <f>H6/'Vollkosten Zusammenfassung'!$U$8*12</f>
        <v>43.323428571428572</v>
      </c>
      <c r="J6" s="130"/>
      <c r="K6" s="119"/>
      <c r="L6" s="131">
        <v>4000</v>
      </c>
      <c r="M6" s="131">
        <v>-2000</v>
      </c>
      <c r="N6" s="132">
        <f t="dataTable" ref="N6:S20" dt2D="1" dtr="1" r1="M4" r2="L4"/>
        <v>124.39655266757867</v>
      </c>
      <c r="O6" s="133">
        <v>103.66379388964889</v>
      </c>
      <c r="P6" s="134">
        <v>88.854680476841907</v>
      </c>
      <c r="Q6" s="133">
        <v>77.747845417236675</v>
      </c>
      <c r="R6" s="133">
        <v>69.109195926432591</v>
      </c>
      <c r="S6" s="135">
        <v>62.19827633378933</v>
      </c>
    </row>
    <row r="7" spans="1:19" s="138" customFormat="1" x14ac:dyDescent="0.25">
      <c r="A7" s="136"/>
      <c r="B7" s="50"/>
      <c r="C7" s="50"/>
      <c r="D7" s="137"/>
      <c r="E7" s="42"/>
      <c r="F7" s="127"/>
      <c r="G7" s="50"/>
      <c r="H7" s="128"/>
      <c r="I7" s="129"/>
      <c r="K7" s="119"/>
      <c r="L7" s="131">
        <v>4500</v>
      </c>
      <c r="M7" s="131">
        <v>-1500</v>
      </c>
      <c r="N7" s="139">
        <v>132.83943912448703</v>
      </c>
      <c r="O7" s="132">
        <v>110.69953260373917</v>
      </c>
      <c r="P7" s="134">
        <v>94.885313660347862</v>
      </c>
      <c r="Q7" s="133">
        <v>83.024649452804383</v>
      </c>
      <c r="R7" s="135">
        <v>73.799688402492791</v>
      </c>
      <c r="S7" s="140">
        <v>66.4197195622435</v>
      </c>
    </row>
    <row r="8" spans="1:19" x14ac:dyDescent="0.25">
      <c r="A8" s="136"/>
      <c r="B8" s="50" t="s">
        <v>22</v>
      </c>
      <c r="C8" s="8"/>
      <c r="D8" s="137"/>
      <c r="E8" s="42"/>
      <c r="F8" s="141"/>
      <c r="G8" s="142"/>
      <c r="H8" s="128"/>
      <c r="I8" s="129"/>
      <c r="K8" s="119"/>
      <c r="L8" s="131">
        <v>5000</v>
      </c>
      <c r="M8" s="131">
        <v>-1000</v>
      </c>
      <c r="N8" s="139">
        <v>141.28232558139538</v>
      </c>
      <c r="O8" s="139">
        <v>117.73527131782947</v>
      </c>
      <c r="P8" s="143">
        <v>100.91594684385383</v>
      </c>
      <c r="Q8" s="135">
        <v>88.301453488372104</v>
      </c>
      <c r="R8" s="140">
        <v>78.490180878552977</v>
      </c>
      <c r="S8" s="140">
        <v>70.641162790697678</v>
      </c>
    </row>
    <row r="9" spans="1:19" x14ac:dyDescent="0.25">
      <c r="A9" s="107">
        <f>MAX($A$1:A8)+1</f>
        <v>2</v>
      </c>
      <c r="B9" s="144"/>
      <c r="C9" s="145"/>
      <c r="D9" s="146"/>
      <c r="E9" s="147"/>
      <c r="F9" s="148"/>
      <c r="G9" s="144"/>
      <c r="H9" s="149"/>
      <c r="I9" s="150"/>
      <c r="K9" s="119"/>
      <c r="L9" s="131">
        <v>5500</v>
      </c>
      <c r="M9" s="131">
        <v>-500</v>
      </c>
      <c r="N9" s="139">
        <v>149.72521203830371</v>
      </c>
      <c r="O9" s="139">
        <v>124.77101003191974</v>
      </c>
      <c r="P9" s="151">
        <v>106.94658002735977</v>
      </c>
      <c r="Q9" s="140">
        <v>93.578257523939811</v>
      </c>
      <c r="R9" s="140">
        <v>83.180673354613162</v>
      </c>
      <c r="S9" s="140">
        <v>74.862606019151841</v>
      </c>
    </row>
    <row r="10" spans="1:19" x14ac:dyDescent="0.25">
      <c r="A10" s="112"/>
      <c r="B10" s="101" t="s">
        <v>54</v>
      </c>
      <c r="C10" s="8"/>
      <c r="D10" s="113" t="s">
        <v>17</v>
      </c>
      <c r="E10" s="122"/>
      <c r="F10" s="123">
        <f>'Vollkosten Zusammenfassung'!G16</f>
        <v>0.05</v>
      </c>
      <c r="G10" s="124"/>
      <c r="H10" s="125">
        <f>F10*H6</f>
        <v>379.08000000000004</v>
      </c>
      <c r="I10" s="115">
        <f>H10/'Vollkosten Zusammenfassung'!$U$8*12</f>
        <v>2.1661714285714289</v>
      </c>
      <c r="J10" s="8"/>
      <c r="K10" s="119"/>
      <c r="L10" s="131">
        <v>6000</v>
      </c>
      <c r="M10" s="131">
        <v>0</v>
      </c>
      <c r="N10" s="151">
        <v>158.16809849521204</v>
      </c>
      <c r="O10" s="151">
        <v>131.80674874601002</v>
      </c>
      <c r="P10" s="152">
        <v>112.97721321086573</v>
      </c>
      <c r="Q10" s="153">
        <v>98.855061559507519</v>
      </c>
      <c r="R10" s="153">
        <v>87.871165830673348</v>
      </c>
      <c r="S10" s="153">
        <v>79.084049247606004</v>
      </c>
    </row>
    <row r="11" spans="1:19" x14ac:dyDescent="0.25">
      <c r="A11" s="112"/>
      <c r="B11" s="101" t="s">
        <v>55</v>
      </c>
      <c r="C11" s="8"/>
      <c r="D11" s="113" t="s">
        <v>12</v>
      </c>
      <c r="E11" s="122"/>
      <c r="F11" s="154"/>
      <c r="G11" s="124"/>
      <c r="H11" s="114">
        <f>'Vollkosten Zusammenfassung'!I17</f>
        <v>150</v>
      </c>
      <c r="I11" s="115">
        <f>H11/'Vollkosten Zusammenfassung'!$U$8*12</f>
        <v>0.8571428571428571</v>
      </c>
      <c r="J11" s="8"/>
      <c r="K11" s="119"/>
      <c r="L11" s="131">
        <v>6500</v>
      </c>
      <c r="M11" s="131">
        <v>500</v>
      </c>
      <c r="N11" s="139">
        <v>166.61098495212039</v>
      </c>
      <c r="O11" s="139">
        <v>138.8424874601003</v>
      </c>
      <c r="P11" s="151">
        <v>119.0078463943717</v>
      </c>
      <c r="Q11" s="140">
        <v>104.13186559507524</v>
      </c>
      <c r="R11" s="140">
        <v>92.561658306733548</v>
      </c>
      <c r="S11" s="140">
        <v>83.305492476060181</v>
      </c>
    </row>
    <row r="12" spans="1:19" x14ac:dyDescent="0.25">
      <c r="A12" s="112"/>
      <c r="B12" s="101" t="s">
        <v>56</v>
      </c>
      <c r="C12" s="8"/>
      <c r="D12" s="113" t="s">
        <v>12</v>
      </c>
      <c r="E12" s="2"/>
      <c r="F12" s="7"/>
      <c r="G12" s="8"/>
      <c r="H12" s="114">
        <f>'Vollkosten Zusammenfassung'!I18</f>
        <v>200</v>
      </c>
      <c r="I12" s="115">
        <f>H12/'Vollkosten Zusammenfassung'!$U$8*12</f>
        <v>1.1428571428571428</v>
      </c>
      <c r="J12" s="8"/>
      <c r="K12" s="119" t="s">
        <v>10</v>
      </c>
      <c r="L12" s="131">
        <v>7000</v>
      </c>
      <c r="M12" s="131">
        <v>1000</v>
      </c>
      <c r="N12" s="139">
        <v>175.05387140902872</v>
      </c>
      <c r="O12" s="139">
        <v>145.87822617419059</v>
      </c>
      <c r="P12" s="151">
        <v>125.03847957787764</v>
      </c>
      <c r="Q12" s="140">
        <v>109.40866963064293</v>
      </c>
      <c r="R12" s="140">
        <v>97.25215078279372</v>
      </c>
      <c r="S12" s="140">
        <v>87.526935704514344</v>
      </c>
    </row>
    <row r="13" spans="1:19" x14ac:dyDescent="0.25">
      <c r="A13" s="112"/>
      <c r="B13" s="101" t="s">
        <v>57</v>
      </c>
      <c r="C13" s="8"/>
      <c r="D13" s="113" t="s">
        <v>12</v>
      </c>
      <c r="E13" s="2"/>
      <c r="F13" s="7"/>
      <c r="G13" s="8"/>
      <c r="H13" s="114">
        <f>'Vollkosten Zusammenfassung'!I19</f>
        <v>140</v>
      </c>
      <c r="I13" s="115">
        <f>H13/'Vollkosten Zusammenfassung'!$U$8*12</f>
        <v>0.8</v>
      </c>
      <c r="J13" s="8"/>
      <c r="K13" s="119"/>
      <c r="L13" s="131">
        <v>7500</v>
      </c>
      <c r="M13" s="131">
        <v>1500</v>
      </c>
      <c r="N13" s="139">
        <v>183.49675786593707</v>
      </c>
      <c r="O13" s="139">
        <v>152.91396488828087</v>
      </c>
      <c r="P13" s="151">
        <v>131.06911276138362</v>
      </c>
      <c r="Q13" s="140">
        <v>114.68547366621065</v>
      </c>
      <c r="R13" s="140">
        <v>101.94264325885392</v>
      </c>
      <c r="S13" s="140">
        <v>91.748378932968521</v>
      </c>
    </row>
    <row r="14" spans="1:19" x14ac:dyDescent="0.25">
      <c r="A14" s="112"/>
      <c r="B14" s="101" t="s">
        <v>58</v>
      </c>
      <c r="C14" s="8"/>
      <c r="D14" s="113" t="s">
        <v>12</v>
      </c>
      <c r="E14" s="2"/>
      <c r="F14" s="338">
        <f>'Vollkosten Zusammenfassung'!G20</f>
        <v>0.3</v>
      </c>
      <c r="G14" s="8"/>
      <c r="H14" s="125">
        <f>H17*F14</f>
        <v>75</v>
      </c>
      <c r="I14" s="115">
        <f>H14/'Vollkosten Zusammenfassung'!$U$8*12</f>
        <v>0.42857142857142855</v>
      </c>
      <c r="J14" s="8"/>
      <c r="K14" s="119"/>
      <c r="L14" s="131">
        <v>8000</v>
      </c>
      <c r="M14" s="131">
        <v>2000</v>
      </c>
      <c r="N14" s="139">
        <v>191.93964432284542</v>
      </c>
      <c r="O14" s="139">
        <v>159.94970360237116</v>
      </c>
      <c r="P14" s="151">
        <v>137.09974594488958</v>
      </c>
      <c r="Q14" s="140">
        <v>119.96227770177838</v>
      </c>
      <c r="R14" s="140">
        <v>106.63313573491412</v>
      </c>
      <c r="S14" s="140">
        <v>95.969822161422698</v>
      </c>
    </row>
    <row r="15" spans="1:19" x14ac:dyDescent="0.25">
      <c r="A15" s="112"/>
      <c r="B15" s="101" t="s">
        <v>59</v>
      </c>
      <c r="C15" s="8"/>
      <c r="D15" s="113" t="s">
        <v>12</v>
      </c>
      <c r="E15" s="2"/>
      <c r="F15" s="7"/>
      <c r="G15" s="8"/>
      <c r="H15" s="114">
        <f>'Vollkosten Zusammenfassung'!I21</f>
        <v>80</v>
      </c>
      <c r="I15" s="115">
        <f>H15/'Vollkosten Zusammenfassung'!$U$8*12</f>
        <v>0.45714285714285718</v>
      </c>
      <c r="J15" s="8"/>
      <c r="K15" s="119"/>
      <c r="L15" s="131">
        <v>8500</v>
      </c>
      <c r="M15" s="131">
        <v>2500</v>
      </c>
      <c r="N15" s="139">
        <v>200.38253077975375</v>
      </c>
      <c r="O15" s="139">
        <v>166.98544231646144</v>
      </c>
      <c r="P15" s="151">
        <v>143.13037912839553</v>
      </c>
      <c r="Q15" s="140">
        <v>125.23908173734608</v>
      </c>
      <c r="R15" s="140">
        <v>111.32362821097431</v>
      </c>
      <c r="S15" s="140">
        <v>100.19126538987686</v>
      </c>
    </row>
    <row r="16" spans="1:19" x14ac:dyDescent="0.25">
      <c r="A16" s="112"/>
      <c r="B16" s="101" t="s">
        <v>60</v>
      </c>
      <c r="C16" s="8"/>
      <c r="D16" s="113" t="s">
        <v>12</v>
      </c>
      <c r="E16" s="2"/>
      <c r="F16" s="7"/>
      <c r="G16" s="8"/>
      <c r="H16" s="114">
        <f>'Vollkosten Zusammenfassung'!I22</f>
        <v>40</v>
      </c>
      <c r="I16" s="115">
        <f>H16/'Vollkosten Zusammenfassung'!$U$8*12</f>
        <v>0.22857142857142859</v>
      </c>
      <c r="J16" s="8"/>
      <c r="K16" s="119"/>
      <c r="L16" s="131">
        <v>9000</v>
      </c>
      <c r="M16" s="131">
        <v>3000</v>
      </c>
      <c r="N16" s="139">
        <v>208.8254172366621</v>
      </c>
      <c r="O16" s="139">
        <v>174.02118103055173</v>
      </c>
      <c r="P16" s="151">
        <v>149.16101231190149</v>
      </c>
      <c r="Q16" s="140">
        <v>130.5158857729138</v>
      </c>
      <c r="R16" s="140">
        <v>116.01412068703449</v>
      </c>
      <c r="S16" s="140">
        <v>104.41270861833104</v>
      </c>
    </row>
    <row r="17" spans="1:19" s="138" customFormat="1" x14ac:dyDescent="0.25">
      <c r="A17" s="112"/>
      <c r="B17" s="101" t="s">
        <v>33</v>
      </c>
      <c r="C17" s="8"/>
      <c r="D17" s="113" t="s">
        <v>12</v>
      </c>
      <c r="E17" s="2"/>
      <c r="F17" s="7"/>
      <c r="G17" s="8"/>
      <c r="H17" s="125">
        <f>F19*F18/12</f>
        <v>250</v>
      </c>
      <c r="I17" s="115">
        <f>H17/'Vollkosten Zusammenfassung'!$U$8*12</f>
        <v>1.4285714285714284</v>
      </c>
      <c r="J17" s="50"/>
      <c r="K17" s="119"/>
      <c r="L17" s="131">
        <v>9500</v>
      </c>
      <c r="M17" s="131">
        <v>3500</v>
      </c>
      <c r="N17" s="139">
        <v>217.26830369357046</v>
      </c>
      <c r="O17" s="139">
        <v>181.05691974464204</v>
      </c>
      <c r="P17" s="151">
        <v>155.19164549540747</v>
      </c>
      <c r="Q17" s="140">
        <v>135.79268980848153</v>
      </c>
      <c r="R17" s="140">
        <v>120.70461316309469</v>
      </c>
      <c r="S17" s="140">
        <v>108.63415184678522</v>
      </c>
    </row>
    <row r="18" spans="1:19" s="138" customFormat="1" x14ac:dyDescent="0.25">
      <c r="A18" s="112"/>
      <c r="B18" s="101"/>
      <c r="C18" s="156" t="s">
        <v>61</v>
      </c>
      <c r="D18" s="113" t="s">
        <v>35</v>
      </c>
      <c r="E18" s="2"/>
      <c r="F18" s="157">
        <f>'Vollkosten Zusammenfassung'!G24</f>
        <v>15</v>
      </c>
      <c r="G18" s="8"/>
      <c r="H18" s="125"/>
      <c r="I18" s="115"/>
      <c r="J18" s="50"/>
      <c r="K18" s="158"/>
      <c r="L18" s="131">
        <v>10000</v>
      </c>
      <c r="M18" s="131">
        <v>4000</v>
      </c>
      <c r="N18" s="139">
        <v>225.71119015047881</v>
      </c>
      <c r="O18" s="139">
        <v>188.09265845873233</v>
      </c>
      <c r="P18" s="159">
        <v>161.22227867891343</v>
      </c>
      <c r="Q18" s="160">
        <v>141.06949384404925</v>
      </c>
      <c r="R18" s="140">
        <v>125.39510563915489</v>
      </c>
      <c r="S18" s="140">
        <v>112.85559507523939</v>
      </c>
    </row>
    <row r="19" spans="1:19" s="138" customFormat="1" x14ac:dyDescent="0.25">
      <c r="A19" s="112"/>
      <c r="B19" s="101"/>
      <c r="C19" s="156" t="s">
        <v>36</v>
      </c>
      <c r="D19" s="113" t="s">
        <v>12</v>
      </c>
      <c r="E19" s="2"/>
      <c r="F19" s="155">
        <f>'Vollkosten Zusammenfassung'!G25</f>
        <v>200</v>
      </c>
      <c r="G19" s="8"/>
      <c r="H19" s="125"/>
      <c r="I19" s="115"/>
      <c r="J19" s="50"/>
      <c r="K19" s="158"/>
      <c r="L19" s="131">
        <v>10500</v>
      </c>
      <c r="M19" s="131">
        <v>4500</v>
      </c>
      <c r="N19" s="139">
        <v>234.15407660738714</v>
      </c>
      <c r="O19" s="161">
        <v>195.12839717282259</v>
      </c>
      <c r="P19" s="162">
        <v>167.25291186241938</v>
      </c>
      <c r="Q19" s="163">
        <v>146.34629787961697</v>
      </c>
      <c r="R19" s="160">
        <v>130.08559811521508</v>
      </c>
      <c r="S19" s="140">
        <v>117.07703830369356</v>
      </c>
    </row>
    <row r="20" spans="1:19" x14ac:dyDescent="0.25">
      <c r="A20" s="112"/>
      <c r="B20" s="164" t="s">
        <v>62</v>
      </c>
      <c r="C20" s="165"/>
      <c r="D20" s="166" t="s">
        <v>12</v>
      </c>
      <c r="E20" s="167"/>
      <c r="F20" s="168"/>
      <c r="G20" s="164"/>
      <c r="H20" s="169">
        <f>SUM(H10:H19)</f>
        <v>1314.08</v>
      </c>
      <c r="I20" s="170">
        <f>SUM(I10:I17)</f>
        <v>7.5090285714285727</v>
      </c>
      <c r="J20" s="8"/>
      <c r="K20" s="158"/>
      <c r="L20" s="131">
        <v>11000</v>
      </c>
      <c r="M20" s="131">
        <v>5000</v>
      </c>
      <c r="N20" s="161">
        <v>242.59696306429549</v>
      </c>
      <c r="O20" s="163">
        <v>202.1641358869129</v>
      </c>
      <c r="P20" s="162">
        <v>173.28354504592534</v>
      </c>
      <c r="Q20" s="163">
        <v>151.62310191518469</v>
      </c>
      <c r="R20" s="163">
        <v>134.77609059127528</v>
      </c>
      <c r="S20" s="160">
        <v>121.29848153214773</v>
      </c>
    </row>
    <row r="21" spans="1:19" x14ac:dyDescent="0.25">
      <c r="A21" s="112"/>
      <c r="B21" s="50" t="s">
        <v>63</v>
      </c>
      <c r="C21" s="8"/>
      <c r="D21" s="137" t="s">
        <v>12</v>
      </c>
      <c r="E21" s="42"/>
      <c r="F21" s="127"/>
      <c r="G21" s="50"/>
      <c r="H21" s="128">
        <f>H20+H6</f>
        <v>8895.68</v>
      </c>
      <c r="I21" s="129">
        <f>I20+I6</f>
        <v>50.832457142857145</v>
      </c>
      <c r="J21" s="8"/>
      <c r="K21" s="8"/>
      <c r="L21" s="8"/>
      <c r="M21" s="8"/>
      <c r="N21" s="8"/>
      <c r="O21" s="8"/>
      <c r="P21" s="8"/>
    </row>
    <row r="22" spans="1:19" x14ac:dyDescent="0.25">
      <c r="A22" s="112"/>
      <c r="B22" s="50"/>
      <c r="C22" s="8"/>
      <c r="D22" s="113"/>
      <c r="E22" s="2"/>
      <c r="F22" s="7"/>
      <c r="G22" s="8"/>
      <c r="H22" s="125"/>
      <c r="I22" s="115"/>
      <c r="J22" s="8"/>
      <c r="K22" s="8"/>
      <c r="L22" s="8"/>
      <c r="M22" s="8"/>
      <c r="N22" s="8"/>
      <c r="O22" s="8"/>
      <c r="P22" s="8"/>
    </row>
    <row r="23" spans="1:19" s="138" customFormat="1" x14ac:dyDescent="0.25">
      <c r="A23" s="107">
        <f>MAX($A$1:A22)+1</f>
        <v>3</v>
      </c>
      <c r="B23" s="50" t="s">
        <v>64</v>
      </c>
      <c r="C23" s="8"/>
      <c r="D23" s="113" t="s">
        <v>12</v>
      </c>
      <c r="E23" s="2"/>
      <c r="F23" s="7"/>
      <c r="G23" s="8"/>
      <c r="H23" s="125">
        <f>((F25/12*13*(1+F5))+H20)/F24</f>
        <v>2666.4080000000004</v>
      </c>
      <c r="I23" s="115">
        <f>H23/'Vollkosten Zusammenfassung'!$U$8*12</f>
        <v>15.236617142857144</v>
      </c>
      <c r="J23" s="50"/>
      <c r="K23" s="50"/>
      <c r="L23" s="50"/>
      <c r="M23" s="50"/>
      <c r="N23" s="50"/>
      <c r="O23" s="50"/>
      <c r="P23" s="50"/>
    </row>
    <row r="24" spans="1:19" x14ac:dyDescent="0.25">
      <c r="B24" s="8"/>
      <c r="C24" s="156" t="s">
        <v>65</v>
      </c>
      <c r="D24" s="113" t="s">
        <v>42</v>
      </c>
      <c r="E24" s="2"/>
      <c r="F24" s="157">
        <f>'Vollkosten Zusammenfassung'!G29</f>
        <v>10</v>
      </c>
      <c r="G24" s="8"/>
      <c r="H24" s="125"/>
      <c r="I24" s="115"/>
      <c r="J24" s="8"/>
      <c r="K24" s="8"/>
      <c r="L24" s="8"/>
      <c r="M24" s="8"/>
      <c r="N24" s="8"/>
      <c r="O24" s="8"/>
      <c r="P24" s="8"/>
    </row>
    <row r="25" spans="1:19" x14ac:dyDescent="0.25">
      <c r="A25" s="112"/>
      <c r="B25" s="50"/>
      <c r="C25" s="156" t="s">
        <v>66</v>
      </c>
      <c r="D25" s="113" t="s">
        <v>12</v>
      </c>
      <c r="E25" s="42"/>
      <c r="F25" s="171">
        <f>'Vollkosten Zusammenfassung'!G30</f>
        <v>20000</v>
      </c>
      <c r="G25" s="50"/>
      <c r="H25" s="172"/>
      <c r="I25" s="129"/>
      <c r="J25" s="8"/>
      <c r="K25" s="8"/>
      <c r="L25" s="8"/>
      <c r="M25" s="8"/>
      <c r="N25" s="8"/>
      <c r="O25" s="8"/>
      <c r="P25" s="8"/>
    </row>
    <row r="26" spans="1:19" x14ac:dyDescent="0.25">
      <c r="A26" s="136"/>
      <c r="B26" s="50" t="s">
        <v>67</v>
      </c>
      <c r="C26" s="50"/>
      <c r="D26" s="137" t="s">
        <v>12</v>
      </c>
      <c r="E26" s="42"/>
      <c r="F26" s="173"/>
      <c r="G26" s="50"/>
      <c r="H26" s="128">
        <f>H23+H21</f>
        <v>11562.088</v>
      </c>
      <c r="I26" s="129">
        <f>H26/'Vollkosten Zusammenfassung'!$U$8*12</f>
        <v>66.069074285714279</v>
      </c>
      <c r="J26" s="8"/>
      <c r="K26" s="8"/>
      <c r="L26" s="8"/>
      <c r="M26" s="8"/>
      <c r="N26" s="8"/>
      <c r="O26" s="8"/>
      <c r="P26" s="8"/>
    </row>
    <row r="27" spans="1:19" x14ac:dyDescent="0.25">
      <c r="A27" s="136"/>
      <c r="B27" s="136"/>
      <c r="C27" s="136"/>
      <c r="D27" s="136"/>
      <c r="E27" s="136"/>
      <c r="F27" s="136"/>
      <c r="G27" s="136"/>
      <c r="H27" s="174"/>
      <c r="I27" s="174"/>
    </row>
    <row r="28" spans="1:19" x14ac:dyDescent="0.25">
      <c r="A28" s="136"/>
      <c r="F28" s="106"/>
      <c r="G28" s="136"/>
      <c r="H28" s="172"/>
      <c r="I28" s="129">
        <f>I26/'Vollkosten Zusammenfassung'!$T$12-verstecken!I26</f>
        <v>13.014974961891724</v>
      </c>
    </row>
    <row r="29" spans="1:19" x14ac:dyDescent="0.25">
      <c r="A29" s="136"/>
      <c r="B29" s="101" t="s">
        <v>68</v>
      </c>
      <c r="C29" s="8"/>
      <c r="D29" s="113" t="s">
        <v>17</v>
      </c>
      <c r="E29" s="2"/>
      <c r="F29" s="123">
        <f>70%+M4</f>
        <v>0.7</v>
      </c>
      <c r="G29" s="136"/>
      <c r="H29" s="172"/>
      <c r="I29" s="129">
        <f>(I26+I28)/F29-(I26+I28)</f>
        <v>33.893163963259724</v>
      </c>
    </row>
    <row r="30" spans="1:19" ht="16.5" thickBot="1" x14ac:dyDescent="0.3">
      <c r="A30" s="175">
        <f>MAX($A$1:A29)+1</f>
        <v>4</v>
      </c>
      <c r="B30" s="176" t="s">
        <v>69</v>
      </c>
      <c r="C30" s="177"/>
      <c r="D30" s="178" t="s">
        <v>12</v>
      </c>
      <c r="E30" s="177"/>
      <c r="F30" s="179"/>
      <c r="G30" s="177"/>
      <c r="H30" s="180">
        <f>H26/$F$29</f>
        <v>16517.268571428573</v>
      </c>
      <c r="I30" s="181">
        <f>I26+I28+I29</f>
        <v>112.97721321086573</v>
      </c>
    </row>
    <row r="31" spans="1:19" x14ac:dyDescent="0.25">
      <c r="F31" s="106"/>
    </row>
    <row r="33" spans="1:5" s="138" customFormat="1" x14ac:dyDescent="0.25">
      <c r="A33" s="106"/>
      <c r="B33" s="106"/>
      <c r="C33" s="106"/>
      <c r="D33" s="106"/>
      <c r="E33" s="106"/>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topLeftCell="A40" workbookViewId="0">
      <selection activeCell="K10" sqref="K10"/>
    </sheetView>
  </sheetViews>
  <sheetFormatPr defaultRowHeight="15" x14ac:dyDescent="0.25"/>
  <cols>
    <col min="1" max="1" width="1.375" style="215" customWidth="1"/>
    <col min="2" max="2" width="4.375" style="215" customWidth="1"/>
    <col min="3" max="3" width="2.875" style="215" customWidth="1"/>
    <col min="4" max="4" width="44.75" style="215" customWidth="1"/>
    <col min="5" max="5" width="9.375" style="215" customWidth="1"/>
    <col min="6" max="6" width="2.375" style="215" customWidth="1"/>
    <col min="7" max="9" width="8.5" style="215" customWidth="1"/>
    <col min="10" max="10" width="10.5" style="215" customWidth="1"/>
    <col min="11" max="11" width="8.5" style="215" customWidth="1"/>
    <col min="12" max="12" width="6.5" style="215" customWidth="1"/>
    <col min="13" max="16" width="9.5" style="215" customWidth="1"/>
    <col min="17" max="17" width="10.375" style="215" bestFit="1" customWidth="1"/>
    <col min="18" max="20" width="9.5" style="215" customWidth="1"/>
    <col min="21" max="16384" width="9" style="215"/>
  </cols>
  <sheetData>
    <row r="1" spans="1:22" ht="18" x14ac:dyDescent="0.25">
      <c r="A1" s="287"/>
      <c r="B1" s="287"/>
      <c r="C1" s="287"/>
      <c r="D1" s="287"/>
      <c r="U1" s="225"/>
      <c r="V1" s="225"/>
    </row>
    <row r="2" spans="1:22" ht="23.25" x14ac:dyDescent="0.35">
      <c r="A2" s="291"/>
      <c r="B2" s="290" t="s">
        <v>0</v>
      </c>
      <c r="C2" s="288"/>
      <c r="D2" s="288"/>
      <c r="E2" s="291"/>
      <c r="F2" s="290"/>
      <c r="G2" s="288"/>
      <c r="H2" s="288"/>
      <c r="I2" s="291"/>
      <c r="J2" s="290"/>
      <c r="K2" s="288"/>
      <c r="L2" s="288"/>
      <c r="M2" s="288"/>
      <c r="N2" s="291"/>
      <c r="O2" s="290"/>
      <c r="P2" s="288"/>
      <c r="Q2" s="288"/>
      <c r="R2" s="291"/>
      <c r="S2" s="290"/>
      <c r="T2" s="288"/>
      <c r="U2" s="225"/>
      <c r="V2" s="225"/>
    </row>
    <row r="3" spans="1:22" ht="23.25" x14ac:dyDescent="0.25">
      <c r="A3" s="288"/>
      <c r="B3" s="289" t="s">
        <v>93</v>
      </c>
      <c r="C3" s="288"/>
      <c r="D3" s="288"/>
      <c r="E3" s="288"/>
      <c r="F3" s="289"/>
      <c r="G3" s="288"/>
      <c r="H3" s="288"/>
      <c r="I3" s="288"/>
      <c r="J3" s="289"/>
      <c r="K3" s="288"/>
      <c r="L3" s="288"/>
      <c r="M3" s="288"/>
      <c r="N3" s="288"/>
      <c r="O3" s="289"/>
      <c r="P3" s="288"/>
      <c r="Q3" s="288"/>
      <c r="R3" s="288"/>
      <c r="S3" s="289"/>
      <c r="T3" s="288"/>
      <c r="U3" s="225"/>
      <c r="V3" s="225"/>
    </row>
    <row r="4" spans="1:22" ht="18" x14ac:dyDescent="0.25">
      <c r="A4" s="287"/>
      <c r="B4" s="287"/>
      <c r="C4" s="287"/>
      <c r="D4" s="287"/>
      <c r="E4" s="287"/>
      <c r="F4" s="287"/>
      <c r="G4" s="287"/>
      <c r="H4" s="287"/>
      <c r="I4" s="287"/>
      <c r="J4" s="287"/>
      <c r="K4" s="287"/>
      <c r="L4" s="287"/>
      <c r="M4" s="287"/>
      <c r="N4" s="287"/>
      <c r="O4" s="287"/>
      <c r="P4" s="287"/>
      <c r="Q4" s="287"/>
      <c r="R4" s="287"/>
    </row>
    <row r="5" spans="1:22" x14ac:dyDescent="0.25">
      <c r="A5" s="225"/>
      <c r="B5" s="225"/>
      <c r="C5" s="225"/>
      <c r="D5" s="225"/>
      <c r="E5" s="225"/>
      <c r="F5" s="225"/>
      <c r="G5" s="225"/>
      <c r="H5" s="225"/>
      <c r="I5" s="225"/>
      <c r="J5" s="225"/>
      <c r="K5" s="286"/>
      <c r="L5" s="225"/>
    </row>
    <row r="6" spans="1:22" x14ac:dyDescent="0.25">
      <c r="A6" s="225"/>
      <c r="B6" s="225"/>
      <c r="C6" s="225"/>
      <c r="D6" s="225"/>
      <c r="E6" s="225"/>
      <c r="F6" s="225"/>
      <c r="G6" s="225"/>
      <c r="H6" s="225"/>
      <c r="I6" s="225"/>
      <c r="J6" s="225"/>
      <c r="K6" s="286"/>
      <c r="L6" s="225"/>
    </row>
    <row r="7" spans="1:22" x14ac:dyDescent="0.25">
      <c r="A7" s="225"/>
      <c r="B7" s="225"/>
      <c r="C7" s="225"/>
      <c r="D7" s="225"/>
      <c r="E7" s="225"/>
      <c r="F7" s="225"/>
      <c r="G7" s="225"/>
      <c r="H7" s="225"/>
      <c r="I7" s="225"/>
      <c r="J7" s="225"/>
      <c r="K7" s="286"/>
      <c r="L7" s="225"/>
    </row>
    <row r="8" spans="1:22" ht="39" x14ac:dyDescent="0.25">
      <c r="A8" s="225"/>
      <c r="B8" s="274" t="s">
        <v>121</v>
      </c>
      <c r="C8" s="274"/>
      <c r="D8" s="285"/>
      <c r="E8" s="275" t="s">
        <v>3</v>
      </c>
      <c r="F8" s="284"/>
      <c r="G8" s="275" t="s">
        <v>4</v>
      </c>
      <c r="H8" s="283" t="s">
        <v>120</v>
      </c>
      <c r="I8" s="283" t="s">
        <v>119</v>
      </c>
      <c r="J8" s="283"/>
      <c r="K8" s="283" t="s">
        <v>7</v>
      </c>
      <c r="L8" s="225"/>
      <c r="M8" s="274" t="s">
        <v>8</v>
      </c>
      <c r="N8" s="275"/>
      <c r="O8" s="274"/>
      <c r="P8" s="275"/>
      <c r="Q8" s="282" t="s">
        <v>9</v>
      </c>
    </row>
    <row r="9" spans="1:22" x14ac:dyDescent="0.25">
      <c r="A9" s="225"/>
      <c r="B9" s="237">
        <v>0</v>
      </c>
      <c r="C9" s="254" t="s">
        <v>118</v>
      </c>
      <c r="D9" s="256"/>
      <c r="E9" s="255" t="s">
        <v>12</v>
      </c>
      <c r="F9" s="254"/>
      <c r="G9" s="259"/>
      <c r="H9" s="252"/>
      <c r="I9" s="251"/>
      <c r="J9" s="250"/>
      <c r="K9" s="249">
        <f>'Vollkosten Zusammenfassung'!K36</f>
        <v>98.9</v>
      </c>
      <c r="L9" s="225"/>
      <c r="M9" s="247" t="s">
        <v>117</v>
      </c>
      <c r="N9" s="247"/>
      <c r="O9" s="247"/>
      <c r="P9" s="247"/>
      <c r="Q9" s="281">
        <v>25</v>
      </c>
    </row>
    <row r="10" spans="1:22" x14ac:dyDescent="0.25">
      <c r="A10" s="225"/>
      <c r="B10" s="237"/>
      <c r="C10" s="247"/>
      <c r="D10" s="245"/>
      <c r="E10" s="246"/>
      <c r="F10" s="245"/>
      <c r="G10" s="244"/>
      <c r="H10" s="243"/>
      <c r="I10" s="242"/>
      <c r="J10" s="241"/>
      <c r="K10" s="240"/>
      <c r="L10" s="225"/>
      <c r="M10" s="247" t="s">
        <v>94</v>
      </c>
      <c r="N10" s="247"/>
      <c r="O10" s="247"/>
      <c r="P10" s="247"/>
      <c r="Q10" s="242">
        <f>Q22</f>
        <v>2</v>
      </c>
    </row>
    <row r="11" spans="1:22" ht="15.75" thickBot="1" x14ac:dyDescent="0.3">
      <c r="A11" s="225"/>
      <c r="B11" s="237">
        <f>MAX($A$1:B10)+1</f>
        <v>1</v>
      </c>
      <c r="C11" s="254" t="s">
        <v>116</v>
      </c>
      <c r="D11" s="256"/>
      <c r="E11" s="255" t="s">
        <v>12</v>
      </c>
      <c r="F11" s="254"/>
      <c r="G11" s="259"/>
      <c r="H11" s="252"/>
      <c r="I11" s="280">
        <v>2000</v>
      </c>
      <c r="J11" s="279"/>
      <c r="K11" s="278">
        <f>I11/(Q11*12)</f>
        <v>3.3333333333333335</v>
      </c>
      <c r="L11" s="225"/>
      <c r="M11" s="277" t="s">
        <v>115</v>
      </c>
      <c r="N11" s="277"/>
      <c r="O11" s="277"/>
      <c r="P11" s="277"/>
      <c r="Q11" s="277">
        <f>Q9*Q10</f>
        <v>50</v>
      </c>
    </row>
    <row r="12" spans="1:22" x14ac:dyDescent="0.25">
      <c r="A12" s="225"/>
      <c r="B12" s="237"/>
      <c r="C12" s="247"/>
      <c r="D12" s="245"/>
      <c r="E12" s="246"/>
      <c r="F12" s="245"/>
      <c r="G12" s="244"/>
      <c r="H12" s="243"/>
      <c r="I12" s="242"/>
      <c r="J12" s="241"/>
      <c r="K12" s="240"/>
      <c r="L12" s="276"/>
    </row>
    <row r="13" spans="1:22" x14ac:dyDescent="0.25">
      <c r="A13" s="225"/>
      <c r="B13" s="237">
        <f>MAX($A$1:B12)+1</f>
        <v>2</v>
      </c>
      <c r="C13" s="254" t="s">
        <v>114</v>
      </c>
      <c r="D13" s="256"/>
      <c r="E13" s="255" t="s">
        <v>12</v>
      </c>
      <c r="F13" s="254"/>
      <c r="G13" s="259"/>
      <c r="H13" s="252"/>
      <c r="I13" s="251">
        <f>SUM(I14:I18)</f>
        <v>42269</v>
      </c>
      <c r="J13" s="250"/>
      <c r="K13" s="249">
        <f>SUM(K14:K18)</f>
        <v>70.448333333333338</v>
      </c>
      <c r="L13" s="225"/>
    </row>
    <row r="14" spans="1:22" x14ac:dyDescent="0.25">
      <c r="A14" s="225"/>
      <c r="B14" s="237"/>
      <c r="C14" s="247" t="s">
        <v>113</v>
      </c>
      <c r="D14" s="245"/>
      <c r="E14" s="246" t="s">
        <v>12</v>
      </c>
      <c r="F14" s="245"/>
      <c r="G14" s="244"/>
      <c r="H14" s="243"/>
      <c r="I14" s="271">
        <v>2000</v>
      </c>
      <c r="J14" s="241"/>
      <c r="K14" s="240">
        <f>I14/(Q11*12)</f>
        <v>3.3333333333333335</v>
      </c>
      <c r="L14" s="225"/>
    </row>
    <row r="15" spans="1:22" x14ac:dyDescent="0.25">
      <c r="A15" s="225"/>
      <c r="B15" s="237"/>
      <c r="C15" s="247" t="s">
        <v>112</v>
      </c>
      <c r="D15" s="245"/>
      <c r="E15" s="246" t="s">
        <v>12</v>
      </c>
      <c r="F15" s="245"/>
      <c r="G15" s="244"/>
      <c r="H15" s="243"/>
      <c r="I15" s="271">
        <v>1500</v>
      </c>
      <c r="J15" s="241"/>
      <c r="K15" s="240">
        <f>I15/(Q11*12)</f>
        <v>2.5</v>
      </c>
      <c r="L15" s="225"/>
      <c r="M15" s="274" t="s">
        <v>109</v>
      </c>
      <c r="N15" s="275"/>
      <c r="O15" s="274"/>
      <c r="P15" s="275"/>
      <c r="Q15" s="274"/>
    </row>
    <row r="16" spans="1:22" x14ac:dyDescent="0.25">
      <c r="A16" s="225"/>
      <c r="B16" s="237"/>
      <c r="C16" s="247" t="s">
        <v>111</v>
      </c>
      <c r="D16" s="245"/>
      <c r="E16" s="246" t="s">
        <v>12</v>
      </c>
      <c r="F16" s="245"/>
      <c r="G16" s="244"/>
      <c r="H16" s="273">
        <v>10</v>
      </c>
      <c r="I16" s="242">
        <f>H16*$K$9*12</f>
        <v>11868</v>
      </c>
      <c r="J16" s="241"/>
      <c r="K16" s="240">
        <f>I16/(Q11*12)</f>
        <v>19.78</v>
      </c>
      <c r="L16" s="225"/>
      <c r="M16" s="248" t="s">
        <v>110</v>
      </c>
      <c r="N16" s="248"/>
      <c r="O16" s="248"/>
      <c r="P16" s="248"/>
      <c r="Q16" s="272">
        <v>1.5</v>
      </c>
    </row>
    <row r="17" spans="1:20" x14ac:dyDescent="0.25">
      <c r="A17" s="225"/>
      <c r="B17" s="237"/>
      <c r="C17" s="247" t="s">
        <v>109</v>
      </c>
      <c r="D17" s="245"/>
      <c r="E17" s="246" t="s">
        <v>12</v>
      </c>
      <c r="F17" s="245"/>
      <c r="G17" s="244"/>
      <c r="H17" s="243"/>
      <c r="I17" s="242">
        <f>Q18*12</f>
        <v>18000</v>
      </c>
      <c r="J17" s="241"/>
      <c r="K17" s="240">
        <f>I17/(Q11*12)</f>
        <v>30</v>
      </c>
      <c r="L17" s="225"/>
      <c r="M17" s="248" t="s">
        <v>108</v>
      </c>
      <c r="N17" s="248"/>
      <c r="O17" s="248"/>
      <c r="P17" s="248"/>
      <c r="Q17" s="271">
        <v>1000</v>
      </c>
      <c r="S17" s="222"/>
    </row>
    <row r="18" spans="1:20" x14ac:dyDescent="0.25">
      <c r="A18" s="225"/>
      <c r="B18" s="237"/>
      <c r="C18" s="247" t="s">
        <v>107</v>
      </c>
      <c r="D18" s="245"/>
      <c r="E18" s="246" t="s">
        <v>12</v>
      </c>
      <c r="F18" s="245"/>
      <c r="G18" s="244"/>
      <c r="H18" s="270">
        <f>Q20*H19</f>
        <v>7.5</v>
      </c>
      <c r="I18" s="242">
        <f>H18*$K$9*12</f>
        <v>8901</v>
      </c>
      <c r="J18" s="241"/>
      <c r="K18" s="240">
        <f>I18/(Q11*12)</f>
        <v>14.835000000000001</v>
      </c>
      <c r="L18" s="225"/>
      <c r="M18" s="248" t="s">
        <v>106</v>
      </c>
      <c r="N18" s="248"/>
      <c r="O18" s="248"/>
      <c r="P18" s="248"/>
      <c r="Q18" s="248">
        <f>Q17*Q16</f>
        <v>1500</v>
      </c>
    </row>
    <row r="19" spans="1:20" x14ac:dyDescent="0.25">
      <c r="A19" s="225"/>
      <c r="B19" s="237"/>
      <c r="C19" s="269" t="s">
        <v>105</v>
      </c>
      <c r="D19" s="245"/>
      <c r="E19" s="268" t="s">
        <v>104</v>
      </c>
      <c r="F19" s="267"/>
      <c r="G19" s="266"/>
      <c r="H19" s="265">
        <v>0.75</v>
      </c>
      <c r="I19" s="242"/>
      <c r="J19" s="241"/>
      <c r="K19" s="240"/>
      <c r="L19" s="225"/>
      <c r="M19" s="248" t="s">
        <v>103</v>
      </c>
      <c r="N19" s="248"/>
      <c r="O19" s="248"/>
      <c r="P19" s="248"/>
      <c r="Q19" s="264">
        <v>0.01</v>
      </c>
      <c r="S19" s="222"/>
    </row>
    <row r="20" spans="1:20" x14ac:dyDescent="0.25">
      <c r="A20" s="225"/>
      <c r="B20" s="263"/>
      <c r="C20" s="247"/>
      <c r="D20" s="262"/>
      <c r="E20" s="246"/>
      <c r="F20" s="262"/>
      <c r="G20" s="237"/>
      <c r="H20" s="261"/>
      <c r="I20" s="260"/>
      <c r="J20" s="241"/>
      <c r="K20" s="240"/>
      <c r="L20" s="225"/>
      <c r="M20" s="248" t="s">
        <v>102</v>
      </c>
      <c r="N20" s="248"/>
      <c r="O20" s="248"/>
      <c r="P20" s="248"/>
      <c r="Q20" s="248">
        <f>Q17*Q19</f>
        <v>10</v>
      </c>
    </row>
    <row r="21" spans="1:20" x14ac:dyDescent="0.25">
      <c r="A21" s="225"/>
      <c r="B21" s="237">
        <f>MAX($A$1:B20)+1</f>
        <v>3</v>
      </c>
      <c r="C21" s="254" t="s">
        <v>101</v>
      </c>
      <c r="D21" s="256"/>
      <c r="E21" s="255" t="s">
        <v>12</v>
      </c>
      <c r="F21" s="254"/>
      <c r="G21" s="259"/>
      <c r="H21" s="258">
        <v>5</v>
      </c>
      <c r="I21" s="251">
        <f>H21*K9*12</f>
        <v>5934</v>
      </c>
      <c r="J21" s="250"/>
      <c r="K21" s="249">
        <f>I21/(Q11*12)</f>
        <v>9.89</v>
      </c>
      <c r="L21" s="225"/>
      <c r="M21" s="248" t="s">
        <v>100</v>
      </c>
      <c r="N21" s="248"/>
      <c r="O21" s="248"/>
      <c r="P21" s="248"/>
      <c r="Q21" s="257">
        <v>0.2</v>
      </c>
    </row>
    <row r="22" spans="1:20" x14ac:dyDescent="0.25">
      <c r="A22" s="225"/>
      <c r="B22" s="237"/>
      <c r="C22" s="247"/>
      <c r="D22" s="245"/>
      <c r="E22" s="246"/>
      <c r="F22" s="245"/>
      <c r="G22" s="244"/>
      <c r="H22" s="243"/>
      <c r="I22" s="242"/>
      <c r="J22" s="241"/>
      <c r="K22" s="240"/>
      <c r="L22" s="225"/>
      <c r="M22" s="248" t="s">
        <v>99</v>
      </c>
      <c r="N22" s="248"/>
      <c r="O22" s="248"/>
      <c r="P22" s="248"/>
      <c r="Q22" s="248">
        <f>Q20*Q21</f>
        <v>2</v>
      </c>
    </row>
    <row r="23" spans="1:20" x14ac:dyDescent="0.25">
      <c r="A23" s="225"/>
      <c r="B23" s="237">
        <f>MAX($A$1:B22)+1</f>
        <v>4</v>
      </c>
      <c r="C23" s="254" t="s">
        <v>98</v>
      </c>
      <c r="D23" s="256"/>
      <c r="E23" s="255"/>
      <c r="F23" s="254"/>
      <c r="G23" s="253">
        <v>0.2</v>
      </c>
      <c r="H23" s="252"/>
      <c r="I23" s="251"/>
      <c r="J23" s="250"/>
      <c r="K23" s="249">
        <f>(K9+K11+K13+K21)*$G$23</f>
        <v>36.514333333333333</v>
      </c>
      <c r="L23" s="225"/>
      <c r="M23" s="248"/>
      <c r="N23" s="248"/>
      <c r="O23" s="248"/>
      <c r="P23" s="248"/>
      <c r="Q23" s="248"/>
    </row>
    <row r="24" spans="1:20" ht="15.75" thickBot="1" x14ac:dyDescent="0.3">
      <c r="A24" s="225"/>
      <c r="B24" s="237"/>
      <c r="C24" s="247"/>
      <c r="D24" s="245"/>
      <c r="E24" s="246"/>
      <c r="F24" s="245"/>
      <c r="G24" s="244"/>
      <c r="H24" s="243"/>
      <c r="I24" s="242"/>
      <c r="J24" s="241"/>
      <c r="K24" s="240"/>
      <c r="L24" s="225"/>
      <c r="M24" s="239" t="s">
        <v>97</v>
      </c>
      <c r="N24" s="239"/>
      <c r="O24" s="239"/>
      <c r="P24" s="239"/>
      <c r="Q24" s="238">
        <f>Q18/Q22</f>
        <v>750</v>
      </c>
    </row>
    <row r="25" spans="1:20" ht="16.5" thickTop="1" thickBot="1" x14ac:dyDescent="0.3">
      <c r="A25" s="225"/>
      <c r="B25" s="237">
        <f>MAX($A$1:B24)+1</f>
        <v>5</v>
      </c>
      <c r="C25" s="236" t="s">
        <v>96</v>
      </c>
      <c r="D25" s="233"/>
      <c r="E25" s="235"/>
      <c r="F25" s="233"/>
      <c r="G25" s="234"/>
      <c r="H25" s="233"/>
      <c r="I25" s="232"/>
      <c r="J25" s="231"/>
      <c r="K25" s="230">
        <f>K9+K11+K13+K21+K23</f>
        <v>219.08599999999998</v>
      </c>
      <c r="L25" s="225"/>
      <c r="P25" s="225"/>
    </row>
    <row r="26" spans="1:20" ht="15.75" thickTop="1" x14ac:dyDescent="0.25"/>
    <row r="27" spans="1:20" x14ac:dyDescent="0.25">
      <c r="C27" s="215" t="s">
        <v>95</v>
      </c>
      <c r="R27" s="225"/>
    </row>
    <row r="28" spans="1:20" x14ac:dyDescent="0.25">
      <c r="H28" s="229"/>
      <c r="R28" s="225"/>
    </row>
    <row r="29" spans="1:20" x14ac:dyDescent="0.25">
      <c r="R29" s="225"/>
    </row>
    <row r="30" spans="1:20" x14ac:dyDescent="0.25">
      <c r="M30" s="221" t="s">
        <v>93</v>
      </c>
      <c r="N30" s="220"/>
      <c r="O30" s="340" t="s">
        <v>92</v>
      </c>
      <c r="P30" s="340"/>
      <c r="Q30" s="340"/>
      <c r="R30" s="340"/>
      <c r="S30" s="340"/>
      <c r="T30" s="340"/>
    </row>
    <row r="31" spans="1:20" ht="15" customHeight="1" x14ac:dyDescent="0.25">
      <c r="J31" s="226"/>
      <c r="K31" s="225"/>
      <c r="L31" s="225"/>
      <c r="M31" s="341" t="s">
        <v>94</v>
      </c>
      <c r="N31" s="219">
        <f>K44</f>
        <v>0</v>
      </c>
      <c r="O31" s="218">
        <f>'Arbeitsblatt (draft)'!P30</f>
        <v>15</v>
      </c>
      <c r="P31" s="218">
        <f>'Arbeitsblatt (draft)'!Q30</f>
        <v>25</v>
      </c>
      <c r="Q31" s="218">
        <f>'Arbeitsblatt (draft)'!R30</f>
        <v>35</v>
      </c>
      <c r="R31" s="218">
        <f>'Arbeitsblatt (draft)'!S30</f>
        <v>45</v>
      </c>
      <c r="S31" s="218">
        <f>'Arbeitsblatt (draft)'!T30</f>
        <v>55</v>
      </c>
      <c r="T31" s="218">
        <f>'Arbeitsblatt (draft)'!U30</f>
        <v>65</v>
      </c>
    </row>
    <row r="32" spans="1:20" x14ac:dyDescent="0.25">
      <c r="J32" s="226"/>
      <c r="M32" s="341"/>
      <c r="N32" s="223">
        <f>'Arbeitsblatt (draft)'!N35</f>
        <v>1</v>
      </c>
      <c r="O32" s="216">
        <f>'Arbeitsblatt (draft)'!P35</f>
        <v>343.36666666666667</v>
      </c>
      <c r="P32" s="216">
        <f>'Arbeitsblatt (draft)'!Q35</f>
        <v>253.49200000000005</v>
      </c>
      <c r="Q32" s="216">
        <f>'Arbeitsblatt (draft)'!R35</f>
        <v>214.97428571428571</v>
      </c>
      <c r="R32" s="216">
        <f>'Arbeitsblatt (draft)'!S35</f>
        <v>193.57555555555555</v>
      </c>
      <c r="S32" s="216">
        <f>'Arbeitsblatt (draft)'!T35</f>
        <v>179.95818181818183</v>
      </c>
      <c r="T32" s="216">
        <f>'Arbeitsblatt (draft)'!U35</f>
        <v>170.53076923076924</v>
      </c>
    </row>
    <row r="33" spans="8:20" x14ac:dyDescent="0.25">
      <c r="J33" s="226"/>
      <c r="M33" s="341"/>
      <c r="N33" s="223">
        <f>'Arbeitsblatt (draft)'!N36</f>
        <v>2</v>
      </c>
      <c r="O33" s="216">
        <f>'Arbeitsblatt (draft)'!P36</f>
        <v>231.02333333333334</v>
      </c>
      <c r="P33" s="216">
        <f>'Arbeitsblatt (draft)'!Q36</f>
        <v>186.08599999999998</v>
      </c>
      <c r="Q33" s="216">
        <f>'Arbeitsblatt (draft)'!R36</f>
        <v>166.82714285714286</v>
      </c>
      <c r="R33" s="216">
        <f>'Arbeitsblatt (draft)'!S36</f>
        <v>156.12777777777779</v>
      </c>
      <c r="S33" s="216">
        <f>'Arbeitsblatt (draft)'!T36</f>
        <v>149.3190909090909</v>
      </c>
      <c r="T33" s="216">
        <f>'Arbeitsblatt (draft)'!U36</f>
        <v>144.60538461538462</v>
      </c>
    </row>
    <row r="34" spans="8:20" x14ac:dyDescent="0.25">
      <c r="J34" s="226"/>
      <c r="M34" s="341"/>
      <c r="N34" s="223">
        <f>'Arbeitsblatt (draft)'!N37</f>
        <v>3</v>
      </c>
      <c r="O34" s="216">
        <f>'Arbeitsblatt (draft)'!P37</f>
        <v>193.57555555555555</v>
      </c>
      <c r="P34" s="216">
        <f>'Arbeitsblatt (draft)'!Q37</f>
        <v>163.61733333333336</v>
      </c>
      <c r="Q34" s="216">
        <f>'Arbeitsblatt (draft)'!R37</f>
        <v>150.77809523809523</v>
      </c>
      <c r="R34" s="216">
        <f>'Arbeitsblatt (draft)'!S37</f>
        <v>143.6451851851852</v>
      </c>
      <c r="S34" s="216">
        <f>'Arbeitsblatt (draft)'!T37</f>
        <v>139.10606060606062</v>
      </c>
      <c r="T34" s="216">
        <f>'Arbeitsblatt (draft)'!U37</f>
        <v>135.96358974358975</v>
      </c>
    </row>
    <row r="35" spans="8:20" x14ac:dyDescent="0.25">
      <c r="J35" s="226"/>
      <c r="M35" s="341"/>
      <c r="N35" s="223">
        <f>'Arbeitsblatt (draft)'!N38</f>
        <v>4</v>
      </c>
      <c r="O35" s="216">
        <f>'Arbeitsblatt (draft)'!P38</f>
        <v>174.85166666666669</v>
      </c>
      <c r="P35" s="216">
        <f>'Arbeitsblatt (draft)'!Q38</f>
        <v>152.38300000000001</v>
      </c>
      <c r="Q35" s="216">
        <f>'Arbeitsblatt (draft)'!R38</f>
        <v>142.75357142857143</v>
      </c>
      <c r="R35" s="216">
        <f>'Arbeitsblatt (draft)'!S38</f>
        <v>137.4038888888889</v>
      </c>
      <c r="S35" s="216">
        <f>'Arbeitsblatt (draft)'!T38</f>
        <v>133.99954545454545</v>
      </c>
      <c r="T35" s="216">
        <f>'Arbeitsblatt (draft)'!U38</f>
        <v>131.64269230769233</v>
      </c>
    </row>
    <row r="36" spans="8:20" x14ac:dyDescent="0.25">
      <c r="J36" s="226"/>
      <c r="M36" s="341"/>
      <c r="N36" s="223">
        <f>'Arbeitsblatt (draft)'!N39</f>
        <v>5</v>
      </c>
      <c r="O36" s="216">
        <f>'Arbeitsblatt (draft)'!P39</f>
        <v>163.61733333333336</v>
      </c>
      <c r="P36" s="216">
        <f>'Arbeitsblatt (draft)'!Q39</f>
        <v>145.64240000000001</v>
      </c>
      <c r="Q36" s="216">
        <f>'Arbeitsblatt (draft)'!R39</f>
        <v>137.93885714285716</v>
      </c>
      <c r="R36" s="216">
        <f>'Arbeitsblatt (draft)'!S39</f>
        <v>133.65911111111112</v>
      </c>
      <c r="S36" s="216">
        <f>'Arbeitsblatt (draft)'!T39</f>
        <v>130.93563636363638</v>
      </c>
      <c r="T36" s="216">
        <f>'Arbeitsblatt (draft)'!U39</f>
        <v>129.05015384615385</v>
      </c>
    </row>
    <row r="37" spans="8:20" x14ac:dyDescent="0.25">
      <c r="J37" s="226"/>
      <c r="M37" s="341"/>
      <c r="N37" s="223">
        <f>'Arbeitsblatt (draft)'!N40</f>
        <v>6</v>
      </c>
      <c r="O37" s="216">
        <f>'Arbeitsblatt (draft)'!P40</f>
        <v>156.12777777777779</v>
      </c>
      <c r="P37" s="216">
        <f>'Arbeitsblatt (draft)'!Q40</f>
        <v>141.14866666666668</v>
      </c>
      <c r="Q37" s="216">
        <f>'Arbeitsblatt (draft)'!R40</f>
        <v>134.72904761904763</v>
      </c>
      <c r="R37" s="216">
        <f>'Arbeitsblatt (draft)'!S40</f>
        <v>131.1625925925926</v>
      </c>
      <c r="S37" s="216">
        <f>'Arbeitsblatt (draft)'!T40</f>
        <v>128.89303030303032</v>
      </c>
      <c r="T37" s="216">
        <f>'Arbeitsblatt (draft)'!U40</f>
        <v>127.32179487179488</v>
      </c>
    </row>
    <row r="38" spans="8:20" x14ac:dyDescent="0.25">
      <c r="J38" s="228"/>
      <c r="M38" s="341"/>
      <c r="N38" s="223">
        <f>'Arbeitsblatt (draft)'!N41</f>
        <v>7</v>
      </c>
      <c r="O38" s="216">
        <f>'Arbeitsblatt (draft)'!P41</f>
        <v>150.77809523809523</v>
      </c>
      <c r="P38" s="216">
        <f>'Arbeitsblatt (draft)'!Q41</f>
        <v>137.93885714285716</v>
      </c>
      <c r="Q38" s="216">
        <f>'Arbeitsblatt (draft)'!R41</f>
        <v>132.43632653061226</v>
      </c>
      <c r="R38" s="216">
        <f>'Arbeitsblatt (draft)'!S41</f>
        <v>129.3793650793651</v>
      </c>
      <c r="S38" s="216">
        <f>'Arbeitsblatt (draft)'!T41</f>
        <v>127.43402597402599</v>
      </c>
      <c r="T38" s="216">
        <f>'Arbeitsblatt (draft)'!U41</f>
        <v>126.08725274725276</v>
      </c>
    </row>
    <row r="39" spans="8:20" x14ac:dyDescent="0.25">
      <c r="J39" s="228"/>
      <c r="M39" s="341"/>
      <c r="N39" s="223">
        <f>'Arbeitsblatt (draft)'!N42</f>
        <v>8</v>
      </c>
      <c r="O39" s="216">
        <f>'Arbeitsblatt (draft)'!P42</f>
        <v>146.76583333333332</v>
      </c>
      <c r="P39" s="216">
        <f>'Arbeitsblatt (draft)'!Q42</f>
        <v>135.53149999999999</v>
      </c>
      <c r="Q39" s="216">
        <f>'Arbeitsblatt (draft)'!R42</f>
        <v>130.71678571428572</v>
      </c>
      <c r="R39" s="216">
        <f>'Arbeitsblatt (draft)'!S42</f>
        <v>128.04194444444445</v>
      </c>
      <c r="S39" s="216">
        <f>'Arbeitsblatt (draft)'!T42</f>
        <v>126.33977272727273</v>
      </c>
      <c r="T39" s="216">
        <f>'Arbeitsblatt (draft)'!U42</f>
        <v>125.16134615384617</v>
      </c>
    </row>
    <row r="40" spans="8:20" x14ac:dyDescent="0.25">
      <c r="J40" s="226"/>
      <c r="M40" s="341"/>
      <c r="N40" s="223">
        <f>'Arbeitsblatt (draft)'!N43</f>
        <v>9</v>
      </c>
      <c r="O40" s="216">
        <f>'Arbeitsblatt (draft)'!P43</f>
        <v>143.6451851851852</v>
      </c>
      <c r="P40" s="216">
        <f>'Arbeitsblatt (draft)'!Q43</f>
        <v>133.65911111111112</v>
      </c>
      <c r="Q40" s="216">
        <f>'Arbeitsblatt (draft)'!R43</f>
        <v>129.3793650793651</v>
      </c>
      <c r="R40" s="216">
        <f>'Arbeitsblatt (draft)'!S43</f>
        <v>127.00172839506173</v>
      </c>
      <c r="S40" s="216">
        <f>'Arbeitsblatt (draft)'!T43</f>
        <v>125.48868686868687</v>
      </c>
      <c r="T40" s="216">
        <f>'Arbeitsblatt (draft)'!U43</f>
        <v>124.44119658119661</v>
      </c>
    </row>
    <row r="41" spans="8:20" x14ac:dyDescent="0.25">
      <c r="J41" s="226"/>
      <c r="P41" s="225"/>
    </row>
    <row r="42" spans="8:20" x14ac:dyDescent="0.25">
      <c r="J42" s="227"/>
    </row>
    <row r="43" spans="8:20" x14ac:dyDescent="0.25">
      <c r="J43" s="226"/>
    </row>
    <row r="44" spans="8:20" x14ac:dyDescent="0.25">
      <c r="J44" s="226"/>
    </row>
    <row r="45" spans="8:20" x14ac:dyDescent="0.25">
      <c r="J45" s="226"/>
    </row>
    <row r="46" spans="8:20" x14ac:dyDescent="0.25">
      <c r="H46" s="222"/>
      <c r="J46" s="226"/>
    </row>
    <row r="47" spans="8:20" x14ac:dyDescent="0.25">
      <c r="J47" s="226"/>
      <c r="M47" s="221" t="s">
        <v>93</v>
      </c>
      <c r="N47" s="220"/>
      <c r="O47" s="340" t="s">
        <v>92</v>
      </c>
      <c r="P47" s="340"/>
      <c r="Q47" s="340"/>
      <c r="R47" s="340"/>
      <c r="S47" s="340"/>
      <c r="T47" s="340"/>
    </row>
    <row r="48" spans="8:20" ht="15" customHeight="1" x14ac:dyDescent="0.25">
      <c r="J48" s="226"/>
      <c r="M48" s="341" t="str">
        <f>M17</f>
        <v>Anzahl Klicks pro Monat</v>
      </c>
      <c r="N48" s="219">
        <f>K61</f>
        <v>0</v>
      </c>
      <c r="O48" s="218">
        <f>'Arbeitsblatt (draft)'!P64</f>
        <v>15</v>
      </c>
      <c r="P48" s="218">
        <f>'Arbeitsblatt (draft)'!Q64</f>
        <v>25</v>
      </c>
      <c r="Q48" s="218">
        <f>'Arbeitsblatt (draft)'!R64</f>
        <v>35</v>
      </c>
      <c r="R48" s="218">
        <f>'Arbeitsblatt (draft)'!S64</f>
        <v>45</v>
      </c>
      <c r="S48" s="218">
        <f>'Arbeitsblatt (draft)'!T64</f>
        <v>55</v>
      </c>
      <c r="T48" s="218">
        <f>'Arbeitsblatt (draft)'!U64</f>
        <v>65</v>
      </c>
    </row>
    <row r="49" spans="2:20" x14ac:dyDescent="0.25">
      <c r="J49" s="226"/>
      <c r="K49" s="225"/>
      <c r="L49" s="225"/>
      <c r="M49" s="341"/>
      <c r="N49" s="223">
        <f>'Arbeitsblatt (draft)'!N49</f>
        <v>200</v>
      </c>
      <c r="O49" s="216">
        <f>'Arbeitsblatt (draft)'!P49</f>
        <v>541.7166666666667</v>
      </c>
      <c r="P49" s="216">
        <f>'Arbeitsblatt (draft)'!Q49</f>
        <v>372.50200000000001</v>
      </c>
      <c r="Q49" s="216">
        <f>'Arbeitsblatt (draft)'!R49</f>
        <v>299.98142857142858</v>
      </c>
      <c r="R49" s="216">
        <f>'Arbeitsblatt (draft)'!S49</f>
        <v>259.69222222222226</v>
      </c>
      <c r="S49" s="216">
        <f>'Arbeitsblatt (draft)'!T49</f>
        <v>234.05363636363634</v>
      </c>
      <c r="T49" s="216">
        <f>'Arbeitsblatt (draft)'!U49</f>
        <v>216.30384615384617</v>
      </c>
    </row>
    <row r="50" spans="2:20" x14ac:dyDescent="0.25">
      <c r="B50" s="224"/>
      <c r="C50" s="224"/>
      <c r="D50" s="224"/>
      <c r="M50" s="341"/>
      <c r="N50" s="223">
        <f>'Arbeitsblatt (draft)'!N50</f>
        <v>400</v>
      </c>
      <c r="O50" s="216">
        <f>'Arbeitsblatt (draft)'!P50</f>
        <v>347.53333333333336</v>
      </c>
      <c r="P50" s="216">
        <f>'Arbeitsblatt (draft)'!Q50</f>
        <v>255.99200000000002</v>
      </c>
      <c r="Q50" s="216">
        <f>'Arbeitsblatt (draft)'!R50</f>
        <v>216.76</v>
      </c>
      <c r="R50" s="216">
        <f>'Arbeitsblatt (draft)'!S50</f>
        <v>194.96444444444444</v>
      </c>
      <c r="S50" s="216">
        <f>'Arbeitsblatt (draft)'!T50</f>
        <v>181.09454545454548</v>
      </c>
      <c r="T50" s="216">
        <f>'Arbeitsblatt (draft)'!U50</f>
        <v>171.49230769230769</v>
      </c>
    </row>
    <row r="51" spans="2:20" x14ac:dyDescent="0.25">
      <c r="M51" s="341"/>
      <c r="N51" s="223">
        <f>'Arbeitsblatt (draft)'!N51</f>
        <v>600</v>
      </c>
      <c r="O51" s="216">
        <f>'Arbeitsblatt (draft)'!P51</f>
        <v>282.80555555555549</v>
      </c>
      <c r="P51" s="216">
        <f>'Arbeitsblatt (draft)'!Q51</f>
        <v>217.15533333333332</v>
      </c>
      <c r="Q51" s="216">
        <f>'Arbeitsblatt (draft)'!R51</f>
        <v>189.0195238095238</v>
      </c>
      <c r="R51" s="216">
        <f>'Arbeitsblatt (draft)'!S51</f>
        <v>173.38851851851854</v>
      </c>
      <c r="S51" s="216">
        <f>'Arbeitsblatt (draft)'!T51</f>
        <v>163.44151515151515</v>
      </c>
      <c r="T51" s="216">
        <f>'Arbeitsblatt (draft)'!U51</f>
        <v>156.5551282051282</v>
      </c>
    </row>
    <row r="52" spans="2:20" x14ac:dyDescent="0.25">
      <c r="M52" s="341"/>
      <c r="N52" s="223">
        <f>'Arbeitsblatt (draft)'!N52</f>
        <v>800</v>
      </c>
      <c r="O52" s="216">
        <f>'Arbeitsblatt (draft)'!P52</f>
        <v>250.44166666666666</v>
      </c>
      <c r="P52" s="216">
        <f>'Arbeitsblatt (draft)'!Q52</f>
        <v>197.73700000000002</v>
      </c>
      <c r="Q52" s="216">
        <f>'Arbeitsblatt (draft)'!R52</f>
        <v>175.14928571428572</v>
      </c>
      <c r="R52" s="216">
        <f>'Arbeitsblatt (draft)'!S52</f>
        <v>162.60055555555556</v>
      </c>
      <c r="S52" s="216">
        <f>'Arbeitsblatt (draft)'!T52</f>
        <v>154.61500000000001</v>
      </c>
      <c r="T52" s="216">
        <f>'Arbeitsblatt (draft)'!U52</f>
        <v>149.08653846153848</v>
      </c>
    </row>
    <row r="53" spans="2:20" x14ac:dyDescent="0.25">
      <c r="M53" s="341"/>
      <c r="N53" s="223">
        <f>'Arbeitsblatt (draft)'!N53</f>
        <v>1000</v>
      </c>
      <c r="O53" s="216">
        <f>'Arbeitsblatt (draft)'!P53</f>
        <v>231.02333333333334</v>
      </c>
      <c r="P53" s="216">
        <f>'Arbeitsblatt (draft)'!Q53</f>
        <v>186.08599999999998</v>
      </c>
      <c r="Q53" s="216">
        <f>'Arbeitsblatt (draft)'!R53</f>
        <v>166.82714285714286</v>
      </c>
      <c r="R53" s="216">
        <f>'Arbeitsblatt (draft)'!S53</f>
        <v>156.12777777777779</v>
      </c>
      <c r="S53" s="216">
        <f>'Arbeitsblatt (draft)'!T53</f>
        <v>149.3190909090909</v>
      </c>
      <c r="T53" s="216">
        <f>'Arbeitsblatt (draft)'!U53</f>
        <v>144.60538461538462</v>
      </c>
    </row>
    <row r="54" spans="2:20" x14ac:dyDescent="0.25">
      <c r="M54" s="341"/>
      <c r="N54" s="223">
        <f>'Arbeitsblatt (draft)'!N54</f>
        <v>1200</v>
      </c>
      <c r="O54" s="216">
        <f>'Arbeitsblatt (draft)'!P54</f>
        <v>218.07777777777778</v>
      </c>
      <c r="P54" s="216">
        <f>'Arbeitsblatt (draft)'!Q54</f>
        <v>178.31866666666667</v>
      </c>
      <c r="Q54" s="216">
        <f>'Arbeitsblatt (draft)'!R54</f>
        <v>161.27904761904762</v>
      </c>
      <c r="R54" s="216">
        <f>'Arbeitsblatt (draft)'!S54</f>
        <v>151.81259259259264</v>
      </c>
      <c r="S54" s="216">
        <f>'Arbeitsblatt (draft)'!T54</f>
        <v>145.78848484848484</v>
      </c>
      <c r="T54" s="216">
        <f>'Arbeitsblatt (draft)'!U54</f>
        <v>141.61794871794874</v>
      </c>
    </row>
    <row r="55" spans="2:20" x14ac:dyDescent="0.25">
      <c r="M55" s="341"/>
      <c r="N55" s="223">
        <f>'Arbeitsblatt (draft)'!N55</f>
        <v>1400</v>
      </c>
      <c r="O55" s="216">
        <f>'Arbeitsblatt (draft)'!P55</f>
        <v>208.83095238095234</v>
      </c>
      <c r="P55" s="216">
        <f>'Arbeitsblatt (draft)'!Q55</f>
        <v>172.77057142857143</v>
      </c>
      <c r="Q55" s="216">
        <f>'Arbeitsblatt (draft)'!R55</f>
        <v>157.3161224489796</v>
      </c>
      <c r="R55" s="216">
        <f>'Arbeitsblatt (draft)'!S55</f>
        <v>148.73031746031748</v>
      </c>
      <c r="S55" s="216">
        <f>'Arbeitsblatt (draft)'!T55</f>
        <v>143.26662337662339</v>
      </c>
      <c r="T55" s="216">
        <f>'Arbeitsblatt (draft)'!U55</f>
        <v>139.48406593406594</v>
      </c>
    </row>
    <row r="56" spans="2:20" x14ac:dyDescent="0.25">
      <c r="M56" s="341"/>
      <c r="N56" s="223">
        <f>'Arbeitsblatt (draft)'!N56</f>
        <v>1600</v>
      </c>
      <c r="O56" s="216">
        <f>'Arbeitsblatt (draft)'!P56</f>
        <v>201.89583333333337</v>
      </c>
      <c r="P56" s="216">
        <f>'Arbeitsblatt (draft)'!Q56</f>
        <v>168.6095</v>
      </c>
      <c r="Q56" s="216">
        <f>'Arbeitsblatt (draft)'!R56</f>
        <v>154.34392857142859</v>
      </c>
      <c r="R56" s="216">
        <f>'Arbeitsblatt (draft)'!S56</f>
        <v>146.41861111111112</v>
      </c>
      <c r="S56" s="216">
        <f>'Arbeitsblatt (draft)'!T56</f>
        <v>141.3752272727273</v>
      </c>
      <c r="T56" s="216">
        <f>'Arbeitsblatt (draft)'!U56</f>
        <v>137.88365384615386</v>
      </c>
    </row>
    <row r="57" spans="2:20" x14ac:dyDescent="0.25">
      <c r="M57" s="341"/>
      <c r="N57" s="223">
        <f>'Arbeitsblatt (draft)'!N57</f>
        <v>1800</v>
      </c>
      <c r="O57" s="216">
        <f>'Arbeitsblatt (draft)'!P57</f>
        <v>196.50185185185188</v>
      </c>
      <c r="P57" s="216">
        <f>'Arbeitsblatt (draft)'!Q57</f>
        <v>165.37311111111109</v>
      </c>
      <c r="Q57" s="216">
        <f>'Arbeitsblatt (draft)'!R57</f>
        <v>152.03222222222223</v>
      </c>
      <c r="R57" s="216">
        <f>'Arbeitsblatt (draft)'!S57</f>
        <v>144.62061728395062</v>
      </c>
      <c r="S57" s="216">
        <f>'Arbeitsblatt (draft)'!T57</f>
        <v>139.90414141414141</v>
      </c>
      <c r="T57" s="216">
        <f>'Arbeitsblatt (draft)'!U57</f>
        <v>136.63888888888891</v>
      </c>
    </row>
    <row r="58" spans="2:20" x14ac:dyDescent="0.25">
      <c r="M58" s="341"/>
      <c r="N58" s="223">
        <f>'Arbeitsblatt (draft)'!N58</f>
        <v>2000</v>
      </c>
      <c r="O58" s="216">
        <f>'Arbeitsblatt (draft)'!P58</f>
        <v>192.18666666666667</v>
      </c>
      <c r="P58" s="216">
        <f>'Arbeitsblatt (draft)'!Q58</f>
        <v>162.78399999999999</v>
      </c>
      <c r="Q58" s="216">
        <f>'Arbeitsblatt (draft)'!R58</f>
        <v>150.18285714285716</v>
      </c>
      <c r="R58" s="216">
        <f>'Arbeitsblatt (draft)'!S58</f>
        <v>143.18222222222221</v>
      </c>
      <c r="S58" s="216">
        <f>'Arbeitsblatt (draft)'!T58</f>
        <v>138.72727272727275</v>
      </c>
      <c r="T58" s="216">
        <f>'Arbeitsblatt (draft)'!U58</f>
        <v>135.64307692307693</v>
      </c>
    </row>
    <row r="59" spans="2:20" x14ac:dyDescent="0.25">
      <c r="M59" s="341"/>
      <c r="N59" s="223">
        <f>'Arbeitsblatt (draft)'!N59</f>
        <v>2200</v>
      </c>
      <c r="O59" s="216">
        <f>'Arbeitsblatt (draft)'!P59</f>
        <v>188.65606060606061</v>
      </c>
      <c r="P59" s="216">
        <f>'Arbeitsblatt (draft)'!Q59</f>
        <v>160.66563636363639</v>
      </c>
      <c r="Q59" s="216">
        <f>'Arbeitsblatt (draft)'!R59</f>
        <v>148.66974025974028</v>
      </c>
      <c r="R59" s="216">
        <f>'Arbeitsblatt (draft)'!S59</f>
        <v>142.00535353535352</v>
      </c>
      <c r="S59" s="216">
        <f>'Arbeitsblatt (draft)'!T59</f>
        <v>137.76438016528928</v>
      </c>
      <c r="T59" s="216">
        <f>'Arbeitsblatt (draft)'!U59</f>
        <v>134.82832167832169</v>
      </c>
    </row>
    <row r="60" spans="2:20" x14ac:dyDescent="0.25">
      <c r="M60" s="341"/>
      <c r="N60" s="223">
        <f>'Arbeitsblatt (draft)'!N60</f>
        <v>2400</v>
      </c>
      <c r="O60" s="216">
        <f>'Arbeitsblatt (draft)'!P60</f>
        <v>185.71388888888885</v>
      </c>
      <c r="P60" s="216">
        <f>'Arbeitsblatt (draft)'!Q60</f>
        <v>158.90033333333335</v>
      </c>
      <c r="Q60" s="216">
        <f>'Arbeitsblatt (draft)'!R60</f>
        <v>147.40880952380954</v>
      </c>
      <c r="R60" s="216">
        <f>'Arbeitsblatt (draft)'!S60</f>
        <v>141.02462962962963</v>
      </c>
      <c r="S60" s="216">
        <f>'Arbeitsblatt (draft)'!T60</f>
        <v>136.9619696969697</v>
      </c>
      <c r="T60" s="216">
        <f>'Arbeitsblatt (draft)'!U60</f>
        <v>134.14935897435896</v>
      </c>
    </row>
    <row r="63" spans="2:20" x14ac:dyDescent="0.25">
      <c r="H63" s="222"/>
    </row>
    <row r="64" spans="2:20" x14ac:dyDescent="0.25">
      <c r="M64" s="221" t="s">
        <v>93</v>
      </c>
      <c r="N64" s="220"/>
      <c r="O64" s="340" t="s">
        <v>92</v>
      </c>
      <c r="P64" s="340"/>
      <c r="Q64" s="340"/>
      <c r="R64" s="340"/>
      <c r="S64" s="340"/>
      <c r="T64" s="340"/>
    </row>
    <row r="65" spans="13:20" ht="15" customHeight="1" x14ac:dyDescent="0.25">
      <c r="M65" s="341" t="str">
        <f>M19</f>
        <v>Conversion rate (für Lead)</v>
      </c>
      <c r="N65" s="219">
        <f>K75</f>
        <v>0</v>
      </c>
      <c r="O65" s="218">
        <f>'Arbeitsblatt (draft)'!P64</f>
        <v>15</v>
      </c>
      <c r="P65" s="218">
        <f>'Arbeitsblatt (draft)'!Q64</f>
        <v>25</v>
      </c>
      <c r="Q65" s="218">
        <f>'Arbeitsblatt (draft)'!R64</f>
        <v>35</v>
      </c>
      <c r="R65" s="218">
        <f>'Arbeitsblatt (draft)'!S64</f>
        <v>45</v>
      </c>
      <c r="S65" s="218">
        <f>'Arbeitsblatt (draft)'!T64</f>
        <v>55</v>
      </c>
      <c r="T65" s="218">
        <f>'Arbeitsblatt (draft)'!U64</f>
        <v>65</v>
      </c>
    </row>
    <row r="66" spans="13:20" x14ac:dyDescent="0.25">
      <c r="M66" s="341"/>
      <c r="N66" s="217">
        <f>'Arbeitsblatt (draft)'!N69</f>
        <v>5.0000000000000001E-3</v>
      </c>
      <c r="O66" s="216">
        <f>'Arbeitsblatt (draft)'!P69</f>
        <v>313.69666666666666</v>
      </c>
      <c r="P66" s="216">
        <f>'Arbeitsblatt (draft)'!Q69</f>
        <v>235.69</v>
      </c>
      <c r="Q66" s="216">
        <f>'Arbeitsblatt (draft)'!R69</f>
        <v>202.25857142857143</v>
      </c>
      <c r="R66" s="216">
        <f>'Arbeitsblatt (draft)'!S69</f>
        <v>183.68555555555554</v>
      </c>
      <c r="S66" s="216">
        <f>'Arbeitsblatt (draft)'!T69</f>
        <v>171.86636363636367</v>
      </c>
      <c r="T66" s="216">
        <f>'Arbeitsblatt (draft)'!U69</f>
        <v>163.68384615384616</v>
      </c>
    </row>
    <row r="67" spans="13:20" x14ac:dyDescent="0.25">
      <c r="M67" s="341"/>
      <c r="N67" s="217">
        <f>'Arbeitsblatt (draft)'!N70</f>
        <v>0.01</v>
      </c>
      <c r="O67" s="216">
        <f>'Arbeitsblatt (draft)'!P70</f>
        <v>231.02333333333334</v>
      </c>
      <c r="P67" s="216">
        <f>'Arbeitsblatt (draft)'!Q70</f>
        <v>186.08599999999998</v>
      </c>
      <c r="Q67" s="216">
        <f>'Arbeitsblatt (draft)'!R70</f>
        <v>166.82714285714286</v>
      </c>
      <c r="R67" s="216">
        <f>'Arbeitsblatt (draft)'!S70</f>
        <v>156.12777777777779</v>
      </c>
      <c r="S67" s="216">
        <f>'Arbeitsblatt (draft)'!T70</f>
        <v>149.3190909090909</v>
      </c>
      <c r="T67" s="216">
        <f>'Arbeitsblatt (draft)'!U70</f>
        <v>144.60538461538462</v>
      </c>
    </row>
    <row r="68" spans="13:20" x14ac:dyDescent="0.25">
      <c r="M68" s="341"/>
      <c r="N68" s="217">
        <f>'Arbeitsblatt (draft)'!N71</f>
        <v>1.4999999999999999E-2</v>
      </c>
      <c r="O68" s="216">
        <f>'Arbeitsblatt (draft)'!P71</f>
        <v>203.46555555555557</v>
      </c>
      <c r="P68" s="216">
        <f>'Arbeitsblatt (draft)'!Q71</f>
        <v>169.55133333333333</v>
      </c>
      <c r="Q68" s="216">
        <f>'Arbeitsblatt (draft)'!R71</f>
        <v>155.01666666666665</v>
      </c>
      <c r="R68" s="216">
        <f>'Arbeitsblatt (draft)'!S71</f>
        <v>146.94185185185188</v>
      </c>
      <c r="S68" s="216">
        <f>'Arbeitsblatt (draft)'!T71</f>
        <v>141.80333333333334</v>
      </c>
      <c r="T68" s="216">
        <f>'Arbeitsblatt (draft)'!U71</f>
        <v>138.24589743589743</v>
      </c>
    </row>
    <row r="69" spans="13:20" x14ac:dyDescent="0.25">
      <c r="M69" s="341"/>
      <c r="N69" s="217">
        <f>'Arbeitsblatt (draft)'!N72</f>
        <v>0.02</v>
      </c>
      <c r="O69" s="216">
        <f>'Arbeitsblatt (draft)'!P72</f>
        <v>189.68666666666667</v>
      </c>
      <c r="P69" s="216">
        <f>'Arbeitsblatt (draft)'!Q72</f>
        <v>161.28399999999999</v>
      </c>
      <c r="Q69" s="216">
        <f>'Arbeitsblatt (draft)'!R72</f>
        <v>149.11142857142858</v>
      </c>
      <c r="R69" s="216">
        <f>'Arbeitsblatt (draft)'!S72</f>
        <v>142.34888888888889</v>
      </c>
      <c r="S69" s="216">
        <f>'Arbeitsblatt (draft)'!T72</f>
        <v>138.04545454545453</v>
      </c>
      <c r="T69" s="216">
        <f>'Arbeitsblatt (draft)'!U72</f>
        <v>135.06615384615387</v>
      </c>
    </row>
    <row r="70" spans="13:20" x14ac:dyDescent="0.25">
      <c r="M70" s="341"/>
      <c r="N70" s="217">
        <f>'Arbeitsblatt (draft)'!N73</f>
        <v>2.5000000000000001E-2</v>
      </c>
      <c r="O70" s="216">
        <f>'Arbeitsblatt (draft)'!P73</f>
        <v>181.41933333333336</v>
      </c>
      <c r="P70" s="216">
        <f>'Arbeitsblatt (draft)'!Q73</f>
        <v>156.3236</v>
      </c>
      <c r="Q70" s="216">
        <f>'Arbeitsblatt (draft)'!R73</f>
        <v>145.56828571428571</v>
      </c>
      <c r="R70" s="216">
        <f>'Arbeitsblatt (draft)'!S73</f>
        <v>139.59311111111111</v>
      </c>
      <c r="S70" s="216">
        <f>'Arbeitsblatt (draft)'!T73</f>
        <v>135.79072727272728</v>
      </c>
      <c r="T70" s="216">
        <f>'Arbeitsblatt (draft)'!U73</f>
        <v>133.15830769230769</v>
      </c>
    </row>
    <row r="71" spans="13:20" x14ac:dyDescent="0.25">
      <c r="M71" s="341"/>
      <c r="N71" s="217">
        <f>'Arbeitsblatt (draft)'!N74</f>
        <v>0.03</v>
      </c>
      <c r="O71" s="216">
        <f>'Arbeitsblatt (draft)'!P74</f>
        <v>175.90777777777777</v>
      </c>
      <c r="P71" s="216">
        <f>'Arbeitsblatt (draft)'!Q74</f>
        <v>153.01666666666668</v>
      </c>
      <c r="Q71" s="216">
        <f>'Arbeitsblatt (draft)'!R74</f>
        <v>143.2061904761905</v>
      </c>
      <c r="R71" s="216">
        <f>'Arbeitsblatt (draft)'!S74</f>
        <v>137.75592592592591</v>
      </c>
      <c r="S71" s="216">
        <f>'Arbeitsblatt (draft)'!T74</f>
        <v>134.28757575757578</v>
      </c>
      <c r="T71" s="216">
        <f>'Arbeitsblatt (draft)'!U74</f>
        <v>131.88641025641027</v>
      </c>
    </row>
    <row r="72" spans="13:20" x14ac:dyDescent="0.25">
      <c r="M72" s="341"/>
      <c r="N72" s="217">
        <f>'Arbeitsblatt (draft)'!N75</f>
        <v>3.5000000000000003E-2</v>
      </c>
      <c r="O72" s="216">
        <f>'Arbeitsblatt (draft)'!P75</f>
        <v>171.97095238095238</v>
      </c>
      <c r="P72" s="216">
        <f>'Arbeitsblatt (draft)'!Q75</f>
        <v>150.65457142857144</v>
      </c>
      <c r="Q72" s="216">
        <f>'Arbeitsblatt (draft)'!R75</f>
        <v>141.51897959183674</v>
      </c>
      <c r="R72" s="216">
        <f>'Arbeitsblatt (draft)'!S75</f>
        <v>136.44365079365082</v>
      </c>
      <c r="S72" s="216">
        <f>'Arbeitsblatt (draft)'!T75</f>
        <v>133.2138961038961</v>
      </c>
      <c r="T72" s="216">
        <f>'Arbeitsblatt (draft)'!U75</f>
        <v>130.9779120879121</v>
      </c>
    </row>
    <row r="73" spans="13:20" x14ac:dyDescent="0.25">
      <c r="M73" s="341"/>
      <c r="N73" s="217">
        <f>'Arbeitsblatt (draft)'!N76</f>
        <v>0.04</v>
      </c>
      <c r="O73" s="216">
        <f>'Arbeitsblatt (draft)'!P76</f>
        <v>169.01833333333335</v>
      </c>
      <c r="P73" s="216">
        <f>'Arbeitsblatt (draft)'!Q76</f>
        <v>148.88299999999998</v>
      </c>
      <c r="Q73" s="216">
        <f>'Arbeitsblatt (draft)'!R76</f>
        <v>140.25357142857143</v>
      </c>
      <c r="R73" s="216">
        <f>'Arbeitsblatt (draft)'!S76</f>
        <v>135.45944444444447</v>
      </c>
      <c r="S73" s="216">
        <f>'Arbeitsblatt (draft)'!T76</f>
        <v>132.40863636363636</v>
      </c>
      <c r="T73" s="216">
        <f>'Arbeitsblatt (draft)'!U76</f>
        <v>130.29653846153849</v>
      </c>
    </row>
    <row r="74" spans="13:20" x14ac:dyDescent="0.25">
      <c r="M74" s="341"/>
      <c r="N74" s="217">
        <f>'Arbeitsblatt (draft)'!N77</f>
        <v>4.5000000000000005E-2</v>
      </c>
      <c r="O74" s="216">
        <f>'Arbeitsblatt (draft)'!P77</f>
        <v>166.72185185185185</v>
      </c>
      <c r="P74" s="216">
        <f>'Arbeitsblatt (draft)'!Q77</f>
        <v>147.50511111111109</v>
      </c>
      <c r="Q74" s="216">
        <f>'Arbeitsblatt (draft)'!R77</f>
        <v>139.26936507936509</v>
      </c>
      <c r="R74" s="216">
        <f>'Arbeitsblatt (draft)'!S77</f>
        <v>134.69395061728395</v>
      </c>
      <c r="S74" s="216">
        <f>'Arbeitsblatt (draft)'!T77</f>
        <v>131.78232323232325</v>
      </c>
      <c r="T74" s="216">
        <f>'Arbeitsblatt (draft)'!U77</f>
        <v>129.76658119658123</v>
      </c>
    </row>
  </sheetData>
  <mergeCells count="6">
    <mergeCell ref="O64:T64"/>
    <mergeCell ref="M65:M74"/>
    <mergeCell ref="O30:T30"/>
    <mergeCell ref="M31:M40"/>
    <mergeCell ref="O47:T47"/>
    <mergeCell ref="M48:M60"/>
  </mergeCells>
  <conditionalFormatting sqref="O32:T40">
    <cfRule type="cellIs" dxfId="14" priority="5" operator="lessThanOrEqual">
      <formula>$K$25</formula>
    </cfRule>
    <cfRule type="cellIs" dxfId="13" priority="6" operator="greaterThan">
      <formula>$K$25</formula>
    </cfRule>
  </conditionalFormatting>
  <conditionalFormatting sqref="O49:T60">
    <cfRule type="cellIs" dxfId="12" priority="3" operator="lessThanOrEqual">
      <formula>$K$25</formula>
    </cfRule>
    <cfRule type="cellIs" dxfId="11" priority="4" operator="greaterThan">
      <formula>$K$25</formula>
    </cfRule>
  </conditionalFormatting>
  <conditionalFormatting sqref="O66:T74">
    <cfRule type="cellIs" dxfId="10" priority="1" operator="lessThanOrEqual">
      <formula>$K$25</formula>
    </cfRule>
    <cfRule type="cellIs" dxfId="9" priority="2" operator="greaterThan">
      <formula>$K$25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election activeCell="K24" sqref="K24"/>
    </sheetView>
  </sheetViews>
  <sheetFormatPr defaultRowHeight="15" x14ac:dyDescent="0.25"/>
  <cols>
    <col min="1" max="1" width="1.375" style="215" customWidth="1"/>
    <col min="2" max="2" width="4.375" style="215" customWidth="1"/>
    <col min="3" max="3" width="2.875" style="215" customWidth="1"/>
    <col min="4" max="4" width="44.75" style="215" customWidth="1"/>
    <col min="5" max="5" width="9.375" style="215" customWidth="1"/>
    <col min="6" max="8" width="8.5" style="215" customWidth="1"/>
    <col min="9" max="9" width="10.5" style="215" customWidth="1"/>
    <col min="10" max="10" width="8.5" style="215" customWidth="1"/>
    <col min="11" max="11" width="13.625" style="215" bestFit="1" customWidth="1"/>
    <col min="12" max="12" width="10.625" style="215" bestFit="1" customWidth="1"/>
    <col min="13" max="15" width="9.5" style="215" customWidth="1"/>
    <col min="16" max="16" width="10.375" style="215" bestFit="1" customWidth="1"/>
    <col min="17" max="19" width="9.5" style="215" customWidth="1"/>
    <col min="20" max="16384" width="9" style="215"/>
  </cols>
  <sheetData>
    <row r="1" spans="1:21" ht="18" x14ac:dyDescent="0.25">
      <c r="A1" s="287"/>
      <c r="B1" s="287"/>
      <c r="C1" s="287"/>
      <c r="D1" s="287"/>
      <c r="T1" s="225"/>
      <c r="U1" s="225"/>
    </row>
    <row r="2" spans="1:21" ht="23.25" x14ac:dyDescent="0.35">
      <c r="A2" s="291"/>
      <c r="B2" s="290" t="s">
        <v>0</v>
      </c>
      <c r="C2" s="288"/>
      <c r="D2" s="288"/>
      <c r="E2" s="291"/>
      <c r="F2" s="288"/>
      <c r="G2" s="288"/>
      <c r="H2" s="291"/>
      <c r="I2" s="290"/>
      <c r="J2" s="288"/>
      <c r="K2" s="288"/>
      <c r="L2" s="288"/>
      <c r="M2" s="291"/>
      <c r="N2" s="290"/>
      <c r="O2" s="288"/>
      <c r="P2" s="288"/>
      <c r="Q2" s="291"/>
      <c r="R2" s="290"/>
      <c r="S2" s="288"/>
      <c r="T2" s="225"/>
      <c r="U2" s="225"/>
    </row>
    <row r="3" spans="1:21" ht="23.25" x14ac:dyDescent="0.25">
      <c r="A3" s="288"/>
      <c r="B3" s="289" t="s">
        <v>93</v>
      </c>
      <c r="C3" s="288"/>
      <c r="D3" s="288"/>
      <c r="E3" s="288"/>
      <c r="F3" s="288"/>
      <c r="G3" s="288"/>
      <c r="H3" s="288"/>
      <c r="I3" s="289"/>
      <c r="J3" s="288"/>
      <c r="K3" s="288"/>
      <c r="L3" s="288"/>
      <c r="M3" s="288"/>
      <c r="N3" s="289"/>
      <c r="O3" s="288"/>
      <c r="P3" s="288"/>
      <c r="Q3" s="288"/>
      <c r="R3" s="289"/>
      <c r="S3" s="288"/>
      <c r="T3" s="225"/>
      <c r="U3" s="225"/>
    </row>
    <row r="4" spans="1:21" ht="18.75" thickBot="1" x14ac:dyDescent="0.3">
      <c r="A4" s="287"/>
      <c r="B4" s="287"/>
      <c r="C4" s="287"/>
      <c r="D4" s="287"/>
      <c r="E4" s="287"/>
      <c r="F4" s="287"/>
      <c r="G4" s="287"/>
      <c r="H4" s="287"/>
      <c r="I4" s="287"/>
      <c r="J4" s="287"/>
      <c r="K4" s="287"/>
      <c r="L4" s="287"/>
      <c r="M4" s="287"/>
      <c r="N4" s="287"/>
      <c r="O4" s="287"/>
      <c r="P4" s="287"/>
      <c r="Q4" s="287"/>
    </row>
    <row r="5" spans="1:21" x14ac:dyDescent="0.25">
      <c r="F5" s="313" t="s">
        <v>125</v>
      </c>
      <c r="G5" s="229"/>
      <c r="H5" s="229"/>
      <c r="I5" s="229"/>
      <c r="Q5" s="225"/>
    </row>
    <row r="6" spans="1:21" x14ac:dyDescent="0.25">
      <c r="C6" s="215" t="s">
        <v>124</v>
      </c>
      <c r="D6" s="312" t="s">
        <v>108</v>
      </c>
      <c r="E6" s="312"/>
      <c r="F6" s="311">
        <v>1000</v>
      </c>
      <c r="G6" s="310">
        <v>2000</v>
      </c>
      <c r="H6" s="309">
        <v>1000</v>
      </c>
      <c r="I6" s="309">
        <v>1000</v>
      </c>
      <c r="Q6" s="225"/>
    </row>
    <row r="7" spans="1:21" ht="15.75" x14ac:dyDescent="0.25">
      <c r="C7" s="215" t="s">
        <v>123</v>
      </c>
      <c r="D7" s="308" t="s">
        <v>103</v>
      </c>
      <c r="E7" s="308"/>
      <c r="F7" s="307">
        <v>0.01</v>
      </c>
      <c r="G7" s="306">
        <v>0.01</v>
      </c>
      <c r="H7" s="301">
        <v>0.02</v>
      </c>
      <c r="I7" s="306">
        <v>0.01</v>
      </c>
      <c r="Q7" s="225"/>
    </row>
    <row r="8" spans="1:21" ht="15.75" x14ac:dyDescent="0.25">
      <c r="C8" s="215" t="s">
        <v>122</v>
      </c>
      <c r="D8" s="305" t="s">
        <v>100</v>
      </c>
      <c r="E8" s="305"/>
      <c r="F8" s="304">
        <v>0.2</v>
      </c>
      <c r="G8" s="303">
        <v>0.2</v>
      </c>
      <c r="H8" s="302">
        <v>0.2</v>
      </c>
      <c r="I8" s="301">
        <v>0.4</v>
      </c>
      <c r="Q8" s="225"/>
    </row>
    <row r="9" spans="1:21" ht="15.75" x14ac:dyDescent="0.25">
      <c r="F9" s="300"/>
      <c r="G9" s="298"/>
      <c r="H9" s="299"/>
      <c r="I9" s="298"/>
      <c r="Q9" s="225"/>
    </row>
    <row r="10" spans="1:21" ht="26.25" x14ac:dyDescent="0.25">
      <c r="B10" s="274" t="s">
        <v>121</v>
      </c>
      <c r="C10" s="274"/>
      <c r="D10" s="285"/>
      <c r="E10" s="275" t="s">
        <v>3</v>
      </c>
      <c r="F10" s="297" t="s">
        <v>7</v>
      </c>
      <c r="G10" s="283" t="s">
        <v>7</v>
      </c>
      <c r="H10" s="283" t="s">
        <v>7</v>
      </c>
      <c r="I10" s="283" t="s">
        <v>7</v>
      </c>
    </row>
    <row r="11" spans="1:21" x14ac:dyDescent="0.25">
      <c r="B11" s="237">
        <f>MAX($A$1:B10)+1</f>
        <v>1</v>
      </c>
      <c r="C11" s="254" t="s">
        <v>118</v>
      </c>
      <c r="D11" s="256"/>
      <c r="E11" s="255" t="s">
        <v>12</v>
      </c>
      <c r="F11" s="295">
        <v>98.9</v>
      </c>
      <c r="G11" s="249">
        <v>98.9</v>
      </c>
      <c r="H11" s="249">
        <v>98.9</v>
      </c>
      <c r="I11" s="249">
        <v>98.9</v>
      </c>
    </row>
    <row r="12" spans="1:21" x14ac:dyDescent="0.25">
      <c r="B12" s="237"/>
      <c r="C12" s="247"/>
      <c r="D12" s="245"/>
      <c r="E12" s="246"/>
      <c r="F12" s="294"/>
      <c r="G12" s="240"/>
      <c r="H12" s="240"/>
      <c r="I12" s="240"/>
    </row>
    <row r="13" spans="1:21" x14ac:dyDescent="0.25">
      <c r="B13" s="237">
        <f>MAX($A$1:B12)+1</f>
        <v>2</v>
      </c>
      <c r="C13" s="254" t="s">
        <v>116</v>
      </c>
      <c r="D13" s="256"/>
      <c r="E13" s="255" t="s">
        <v>12</v>
      </c>
      <c r="F13" s="296">
        <v>3.3333333333333335</v>
      </c>
      <c r="G13" s="278">
        <v>1.6666666666666667</v>
      </c>
      <c r="H13" s="278">
        <v>1.6666666666666667</v>
      </c>
      <c r="I13" s="278">
        <v>1.6666666666666667</v>
      </c>
    </row>
    <row r="14" spans="1:21" x14ac:dyDescent="0.25">
      <c r="B14" s="237"/>
      <c r="C14" s="247"/>
      <c r="D14" s="245"/>
      <c r="E14" s="246"/>
      <c r="F14" s="294"/>
      <c r="G14" s="240"/>
      <c r="H14" s="240"/>
      <c r="I14" s="240"/>
    </row>
    <row r="15" spans="1:21" x14ac:dyDescent="0.25">
      <c r="B15" s="237">
        <f>MAX($A$1:B14)+1</f>
        <v>3</v>
      </c>
      <c r="C15" s="254" t="s">
        <v>114</v>
      </c>
      <c r="D15" s="256"/>
      <c r="E15" s="255" t="s">
        <v>12</v>
      </c>
      <c r="F15" s="295">
        <v>70.448333333333338</v>
      </c>
      <c r="G15" s="249">
        <v>57.641666666666673</v>
      </c>
      <c r="H15" s="249">
        <v>42.641666666666666</v>
      </c>
      <c r="I15" s="249">
        <v>35.224166666666669</v>
      </c>
    </row>
    <row r="16" spans="1:21" x14ac:dyDescent="0.25">
      <c r="B16" s="237"/>
      <c r="C16" s="247" t="s">
        <v>113</v>
      </c>
      <c r="D16" s="245"/>
      <c r="E16" s="246" t="s">
        <v>12</v>
      </c>
      <c r="F16" s="294">
        <v>3.3333333333333335</v>
      </c>
      <c r="G16" s="240">
        <v>1.6666666666666667</v>
      </c>
      <c r="H16" s="240">
        <v>1.6666666666666667</v>
      </c>
      <c r="I16" s="240">
        <v>1.6666666666666667</v>
      </c>
    </row>
    <row r="17" spans="2:14" x14ac:dyDescent="0.25">
      <c r="B17" s="237"/>
      <c r="C17" s="247" t="s">
        <v>112</v>
      </c>
      <c r="D17" s="245"/>
      <c r="E17" s="246" t="s">
        <v>12</v>
      </c>
      <c r="F17" s="294">
        <v>2.5</v>
      </c>
      <c r="G17" s="240">
        <v>1.25</v>
      </c>
      <c r="H17" s="240">
        <v>1.25</v>
      </c>
      <c r="I17" s="240">
        <v>1.25</v>
      </c>
    </row>
    <row r="18" spans="2:14" x14ac:dyDescent="0.25">
      <c r="B18" s="237"/>
      <c r="C18" s="247" t="s">
        <v>111</v>
      </c>
      <c r="D18" s="245"/>
      <c r="E18" s="246" t="s">
        <v>12</v>
      </c>
      <c r="F18" s="294">
        <v>19.78</v>
      </c>
      <c r="G18" s="240">
        <v>9.89</v>
      </c>
      <c r="H18" s="240">
        <v>9.89</v>
      </c>
      <c r="I18" s="240">
        <v>9.89</v>
      </c>
    </row>
    <row r="19" spans="2:14" x14ac:dyDescent="0.25">
      <c r="B19" s="237"/>
      <c r="C19" s="247" t="s">
        <v>109</v>
      </c>
      <c r="D19" s="245"/>
      <c r="E19" s="246" t="s">
        <v>12</v>
      </c>
      <c r="F19" s="294">
        <v>30</v>
      </c>
      <c r="G19" s="240">
        <v>30</v>
      </c>
      <c r="H19" s="240">
        <v>15</v>
      </c>
      <c r="I19" s="240">
        <v>15</v>
      </c>
    </row>
    <row r="20" spans="2:14" x14ac:dyDescent="0.25">
      <c r="B20" s="237"/>
      <c r="C20" s="247" t="s">
        <v>107</v>
      </c>
      <c r="D20" s="245"/>
      <c r="E20" s="246" t="s">
        <v>12</v>
      </c>
      <c r="F20" s="294">
        <v>14.835000000000001</v>
      </c>
      <c r="G20" s="240">
        <v>14.835000000000001</v>
      </c>
      <c r="H20" s="240">
        <v>14.835000000000001</v>
      </c>
      <c r="I20" s="240">
        <v>7.4175000000000004</v>
      </c>
    </row>
    <row r="21" spans="2:14" x14ac:dyDescent="0.25">
      <c r="B21" s="237"/>
      <c r="C21" s="269" t="s">
        <v>105</v>
      </c>
      <c r="D21" s="245"/>
      <c r="E21" s="268" t="s">
        <v>104</v>
      </c>
      <c r="F21" s="294"/>
      <c r="G21" s="240"/>
      <c r="H21" s="240"/>
      <c r="I21" s="240"/>
    </row>
    <row r="22" spans="2:14" x14ac:dyDescent="0.25">
      <c r="B22" s="263"/>
      <c r="C22" s="247"/>
      <c r="D22" s="262"/>
      <c r="E22" s="246"/>
      <c r="F22" s="294"/>
      <c r="G22" s="240"/>
      <c r="H22" s="240"/>
      <c r="I22" s="240"/>
    </row>
    <row r="23" spans="2:14" x14ac:dyDescent="0.25">
      <c r="B23" s="237">
        <f>MAX($A$1:B22)+1</f>
        <v>4</v>
      </c>
      <c r="C23" s="254" t="s">
        <v>101</v>
      </c>
      <c r="D23" s="256"/>
      <c r="E23" s="255" t="s">
        <v>12</v>
      </c>
      <c r="F23" s="295">
        <v>9.89</v>
      </c>
      <c r="G23" s="249">
        <v>4.9450000000000003</v>
      </c>
      <c r="H23" s="249">
        <v>4.9450000000000003</v>
      </c>
      <c r="I23" s="249">
        <v>4.9450000000000003</v>
      </c>
    </row>
    <row r="24" spans="2:14" x14ac:dyDescent="0.25">
      <c r="B24" s="237"/>
      <c r="C24" s="247"/>
      <c r="D24" s="245"/>
      <c r="E24" s="246"/>
      <c r="F24" s="294"/>
      <c r="G24" s="240"/>
      <c r="H24" s="240"/>
      <c r="I24" s="240"/>
    </row>
    <row r="25" spans="2:14" x14ac:dyDescent="0.25">
      <c r="B25" s="237">
        <f>MAX($A$1:B24)+1</f>
        <v>5</v>
      </c>
      <c r="C25" s="254" t="s">
        <v>98</v>
      </c>
      <c r="D25" s="256"/>
      <c r="E25" s="255"/>
      <c r="F25" s="295">
        <v>36.514333333333333</v>
      </c>
      <c r="G25" s="249">
        <v>32.63066666666667</v>
      </c>
      <c r="H25" s="249">
        <v>29.63066666666667</v>
      </c>
      <c r="I25" s="249">
        <v>28.147166666666671</v>
      </c>
    </row>
    <row r="26" spans="2:14" x14ac:dyDescent="0.25">
      <c r="B26" s="237"/>
      <c r="C26" s="247"/>
      <c r="D26" s="245"/>
      <c r="E26" s="246"/>
      <c r="F26" s="294"/>
      <c r="G26" s="240"/>
      <c r="H26" s="240"/>
      <c r="I26" s="240"/>
    </row>
    <row r="27" spans="2:14" ht="15.75" thickBot="1" x14ac:dyDescent="0.3">
      <c r="B27" s="237">
        <f>MAX($A$1:B26)+1</f>
        <v>6</v>
      </c>
      <c r="C27" s="236" t="s">
        <v>96</v>
      </c>
      <c r="D27" s="233"/>
      <c r="E27" s="235"/>
      <c r="F27" s="293">
        <v>219.08599999999998</v>
      </c>
      <c r="G27" s="230">
        <v>195.78399999999999</v>
      </c>
      <c r="H27" s="230">
        <v>177.78399999999999</v>
      </c>
      <c r="I27" s="230">
        <v>168.88300000000001</v>
      </c>
    </row>
    <row r="28" spans="2:14" ht="16.5" thickTop="1" thickBot="1" x14ac:dyDescent="0.3">
      <c r="F28" s="292"/>
    </row>
    <row r="29" spans="2:14" x14ac:dyDescent="0.25">
      <c r="C29" s="215" t="s">
        <v>95</v>
      </c>
    </row>
    <row r="32" spans="2:14" ht="15.75" x14ac:dyDescent="0.25">
      <c r="I32"/>
      <c r="J32"/>
      <c r="K32"/>
      <c r="L32"/>
      <c r="M32"/>
      <c r="N32"/>
    </row>
    <row r="33" spans="4:14" ht="15.75" x14ac:dyDescent="0.25">
      <c r="I33"/>
      <c r="J33"/>
      <c r="K33"/>
      <c r="L33"/>
      <c r="M33"/>
      <c r="N33"/>
    </row>
    <row r="34" spans="4:14" ht="15.75" x14ac:dyDescent="0.25">
      <c r="D34" s="339"/>
      <c r="I34"/>
      <c r="J34"/>
      <c r="K34"/>
      <c r="L34"/>
      <c r="M34"/>
      <c r="N34"/>
    </row>
    <row r="35" spans="4:14" ht="15.75" x14ac:dyDescent="0.25">
      <c r="I35"/>
      <c r="J35"/>
      <c r="K35"/>
      <c r="L35"/>
      <c r="M35"/>
      <c r="N35"/>
    </row>
    <row r="36" spans="4:14" ht="15.75" x14ac:dyDescent="0.25">
      <c r="I36"/>
      <c r="J36"/>
      <c r="K36"/>
      <c r="L36"/>
      <c r="M36"/>
      <c r="N36"/>
    </row>
    <row r="37" spans="4:14" ht="15.75" x14ac:dyDescent="0.25">
      <c r="I37"/>
      <c r="J37"/>
      <c r="K37"/>
      <c r="L37"/>
      <c r="M37"/>
      <c r="N37"/>
    </row>
    <row r="38" spans="4:14" ht="15.75" x14ac:dyDescent="0.25">
      <c r="I38"/>
      <c r="J38"/>
      <c r="K38"/>
      <c r="L38"/>
      <c r="M38"/>
      <c r="N38"/>
    </row>
    <row r="39" spans="4:14" ht="15.75" x14ac:dyDescent="0.25">
      <c r="I39"/>
      <c r="J39"/>
      <c r="K39"/>
      <c r="L39"/>
      <c r="M39"/>
      <c r="N39"/>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zoomScale="85" zoomScaleNormal="85" workbookViewId="0">
      <selection activeCell="N9" sqref="N9"/>
    </sheetView>
  </sheetViews>
  <sheetFormatPr defaultRowHeight="15.75" x14ac:dyDescent="0.25"/>
  <cols>
    <col min="1" max="1" width="1.375" customWidth="1"/>
    <col min="2" max="2" width="4.375" customWidth="1"/>
    <col min="3" max="3" width="2.875" customWidth="1"/>
    <col min="4" max="4" width="44.75" customWidth="1"/>
    <col min="5" max="5" width="9.375" customWidth="1"/>
    <col min="6" max="6" width="2.375" customWidth="1"/>
    <col min="7" max="12" width="8.5" customWidth="1"/>
    <col min="13" max="13" width="10.5" customWidth="1"/>
    <col min="14" max="22" width="8.5" customWidth="1"/>
    <col min="23" max="23" width="8.625" customWidth="1"/>
  </cols>
  <sheetData>
    <row r="1" spans="1:24" ht="15" customHeight="1" x14ac:dyDescent="0.25">
      <c r="A1" s="1"/>
      <c r="B1" s="1"/>
      <c r="C1" s="1"/>
      <c r="D1" s="1"/>
    </row>
    <row r="2" spans="1:24" ht="27.75" customHeight="1" x14ac:dyDescent="0.35">
      <c r="A2" s="3"/>
      <c r="B2" s="4" t="s">
        <v>0</v>
      </c>
      <c r="C2" s="5"/>
      <c r="D2" s="5"/>
      <c r="E2" s="182"/>
      <c r="F2" s="182"/>
      <c r="G2" s="182"/>
      <c r="H2" s="182"/>
      <c r="I2" s="182"/>
      <c r="J2" s="182"/>
      <c r="K2" s="182"/>
      <c r="L2" s="182"/>
      <c r="M2" s="182"/>
      <c r="N2" s="182"/>
      <c r="O2" s="182"/>
      <c r="P2" s="182"/>
      <c r="Q2" s="182"/>
      <c r="R2" s="182"/>
      <c r="S2" s="182"/>
      <c r="T2" s="182"/>
      <c r="U2" s="182"/>
      <c r="V2" s="182"/>
      <c r="W2" s="182"/>
    </row>
    <row r="3" spans="1:24" ht="30" customHeight="1" x14ac:dyDescent="0.25">
      <c r="A3" s="5"/>
      <c r="B3" s="6" t="s">
        <v>1</v>
      </c>
      <c r="C3" s="5"/>
      <c r="D3" s="5"/>
      <c r="E3" s="182"/>
      <c r="F3" s="182"/>
      <c r="G3" s="182"/>
      <c r="H3" s="182"/>
      <c r="I3" s="182"/>
      <c r="J3" s="182"/>
      <c r="K3" s="182"/>
      <c r="L3" s="182"/>
      <c r="M3" s="182"/>
      <c r="N3" s="182"/>
      <c r="O3" s="182"/>
      <c r="P3" s="182"/>
      <c r="Q3" s="182"/>
      <c r="R3" s="182"/>
      <c r="S3" s="182"/>
      <c r="T3" s="182"/>
      <c r="U3" s="182"/>
      <c r="V3" s="182"/>
      <c r="W3" s="182"/>
    </row>
    <row r="4" spans="1:24" ht="12.95" customHeight="1" x14ac:dyDescent="0.25">
      <c r="A4" s="1"/>
      <c r="B4" s="1"/>
      <c r="C4" s="1"/>
      <c r="D4" s="1"/>
      <c r="E4" s="183"/>
      <c r="F4" s="183"/>
      <c r="G4" s="183"/>
      <c r="H4" s="183"/>
      <c r="I4" s="183"/>
      <c r="J4" s="183"/>
      <c r="K4" s="183"/>
      <c r="L4" s="183"/>
      <c r="M4" s="183"/>
      <c r="N4" s="183"/>
      <c r="O4" s="183"/>
      <c r="P4" s="183"/>
      <c r="Q4" s="183"/>
      <c r="R4" s="183"/>
      <c r="S4" s="183"/>
      <c r="T4" s="183"/>
      <c r="U4" s="183"/>
      <c r="V4" s="183"/>
      <c r="W4" s="183"/>
    </row>
    <row r="5" spans="1:24" ht="12.95" customHeight="1" x14ac:dyDescent="0.25">
      <c r="A5" s="1"/>
      <c r="B5" s="1"/>
      <c r="C5" s="1"/>
      <c r="D5" s="1"/>
      <c r="E5" s="7"/>
      <c r="F5" s="8"/>
      <c r="G5" s="9"/>
      <c r="H5" s="8"/>
      <c r="I5" s="8"/>
      <c r="J5" s="8"/>
      <c r="K5" s="8"/>
      <c r="L5" s="8"/>
      <c r="M5" s="8"/>
      <c r="N5" s="8"/>
      <c r="O5" s="8"/>
      <c r="P5" s="8"/>
      <c r="Q5" s="8"/>
      <c r="R5" s="8"/>
      <c r="S5" s="8"/>
      <c r="T5" s="8"/>
      <c r="U5" s="8"/>
      <c r="V5" s="2"/>
      <c r="W5" s="2"/>
    </row>
    <row r="6" spans="1:24" x14ac:dyDescent="0.25">
      <c r="B6" s="184" t="s">
        <v>70</v>
      </c>
      <c r="C6" s="185"/>
      <c r="D6" s="185"/>
      <c r="E6" s="185"/>
      <c r="F6" s="185"/>
      <c r="G6" s="185"/>
      <c r="H6" s="185"/>
      <c r="I6" s="185"/>
      <c r="J6" s="185"/>
    </row>
    <row r="7" spans="1:24" ht="9" customHeight="1" x14ac:dyDescent="0.25">
      <c r="A7" s="19"/>
      <c r="B7" s="14"/>
      <c r="C7" s="186"/>
      <c r="D7" s="187"/>
      <c r="E7" s="187"/>
      <c r="F7" s="187"/>
      <c r="G7" s="187"/>
      <c r="H7" s="187"/>
      <c r="I7" s="187"/>
      <c r="J7" s="187"/>
    </row>
    <row r="8" spans="1:24" ht="54.95" customHeight="1" x14ac:dyDescent="0.25">
      <c r="A8" s="188"/>
      <c r="B8" s="189">
        <v>1</v>
      </c>
      <c r="C8" s="345" t="s">
        <v>71</v>
      </c>
      <c r="D8" s="345"/>
      <c r="E8" s="345"/>
      <c r="F8" s="345"/>
      <c r="G8" s="345"/>
      <c r="H8" s="345"/>
      <c r="I8" s="345"/>
      <c r="J8" s="345"/>
    </row>
    <row r="9" spans="1:24" ht="30" customHeight="1" x14ac:dyDescent="0.25">
      <c r="A9" s="188"/>
      <c r="B9" s="189">
        <v>2</v>
      </c>
      <c r="C9" s="346" t="s">
        <v>72</v>
      </c>
      <c r="D9" s="346"/>
      <c r="E9" s="346"/>
      <c r="F9" s="346"/>
      <c r="G9" s="346"/>
      <c r="H9" s="346"/>
      <c r="I9" s="346"/>
      <c r="J9" s="346"/>
    </row>
    <row r="10" spans="1:24" ht="30" customHeight="1" x14ac:dyDescent="0.25">
      <c r="A10" s="188"/>
      <c r="B10" s="189">
        <v>3</v>
      </c>
      <c r="C10" s="346" t="s">
        <v>73</v>
      </c>
      <c r="D10" s="346"/>
      <c r="E10" s="346"/>
      <c r="F10" s="346"/>
      <c r="G10" s="346"/>
      <c r="H10" s="346"/>
      <c r="I10" s="346"/>
      <c r="J10" s="346"/>
    </row>
    <row r="11" spans="1:24" ht="30" customHeight="1" x14ac:dyDescent="0.25">
      <c r="A11" s="190"/>
      <c r="B11" s="189">
        <v>4</v>
      </c>
      <c r="C11" s="346" t="s">
        <v>74</v>
      </c>
      <c r="D11" s="346"/>
      <c r="E11" s="346"/>
      <c r="F11" s="346"/>
      <c r="G11" s="346"/>
      <c r="H11" s="346"/>
      <c r="I11" s="346"/>
      <c r="J11" s="346"/>
      <c r="L11" s="191"/>
      <c r="M11" s="191"/>
      <c r="N11" s="191"/>
      <c r="O11" s="191"/>
      <c r="P11" s="191"/>
      <c r="Q11" s="191"/>
      <c r="R11" s="191"/>
      <c r="S11" s="191"/>
      <c r="T11" s="191"/>
      <c r="U11" s="191"/>
      <c r="V11" s="191"/>
      <c r="W11" s="191"/>
      <c r="X11" s="191"/>
    </row>
    <row r="12" spans="1:24" x14ac:dyDescent="0.25">
      <c r="A12" s="190"/>
      <c r="B12" s="189"/>
      <c r="C12" s="347" t="s">
        <v>75</v>
      </c>
      <c r="D12" s="347"/>
      <c r="E12" s="347"/>
      <c r="F12" s="347"/>
      <c r="G12" s="347"/>
      <c r="H12" s="347"/>
      <c r="I12" s="347"/>
      <c r="J12" s="347"/>
      <c r="L12" s="191"/>
      <c r="M12" s="191"/>
      <c r="N12" s="191"/>
      <c r="O12" s="191"/>
      <c r="P12" s="191"/>
      <c r="Q12" s="191"/>
      <c r="R12" s="191"/>
      <c r="S12" s="191"/>
      <c r="T12" s="191"/>
      <c r="U12" s="191"/>
      <c r="V12" s="191"/>
      <c r="W12" s="191"/>
      <c r="X12" s="191"/>
    </row>
    <row r="13" spans="1:24" ht="20.100000000000001" customHeight="1" x14ac:dyDescent="0.25">
      <c r="A13" s="188"/>
      <c r="B13" s="189">
        <v>5</v>
      </c>
      <c r="C13" s="346" t="s">
        <v>76</v>
      </c>
      <c r="D13" s="346"/>
      <c r="E13" s="346"/>
      <c r="F13" s="346"/>
      <c r="G13" s="346"/>
      <c r="H13" s="346"/>
      <c r="I13" s="346"/>
      <c r="J13" s="346"/>
    </row>
    <row r="14" spans="1:24" ht="20.100000000000001" customHeight="1" x14ac:dyDescent="0.25">
      <c r="A14" s="188"/>
      <c r="B14" s="189">
        <v>6</v>
      </c>
      <c r="C14" s="344" t="s">
        <v>77</v>
      </c>
      <c r="D14" s="344"/>
      <c r="E14" s="344"/>
      <c r="F14" s="344"/>
      <c r="G14" s="344"/>
      <c r="H14" s="344"/>
      <c r="I14" s="344"/>
      <c r="J14" s="344"/>
    </row>
    <row r="15" spans="1:24" ht="20.100000000000001" customHeight="1" x14ac:dyDescent="0.25">
      <c r="A15" s="188"/>
      <c r="B15" s="189">
        <v>7</v>
      </c>
      <c r="C15" s="345" t="s">
        <v>78</v>
      </c>
      <c r="D15" s="345"/>
      <c r="E15" s="345"/>
      <c r="F15" s="345"/>
      <c r="G15" s="345"/>
      <c r="H15" s="345"/>
      <c r="I15" s="345"/>
      <c r="J15" s="345"/>
    </row>
    <row r="16" spans="1:24" ht="20.100000000000001" customHeight="1" x14ac:dyDescent="0.25">
      <c r="A16" s="188"/>
      <c r="B16" s="189">
        <v>8</v>
      </c>
      <c r="C16" s="346" t="s">
        <v>79</v>
      </c>
      <c r="D16" s="346"/>
      <c r="E16" s="346"/>
      <c r="F16" s="346"/>
      <c r="G16" s="346"/>
      <c r="H16" s="346"/>
      <c r="I16" s="346"/>
      <c r="J16" s="346"/>
    </row>
    <row r="17" spans="1:10" ht="30" customHeight="1" x14ac:dyDescent="0.25">
      <c r="A17" s="188"/>
      <c r="B17" s="189">
        <v>9</v>
      </c>
      <c r="C17" s="345" t="s">
        <v>80</v>
      </c>
      <c r="D17" s="345"/>
      <c r="E17" s="345"/>
      <c r="F17" s="345"/>
      <c r="G17" s="345"/>
      <c r="H17" s="345"/>
      <c r="I17" s="345"/>
      <c r="J17" s="345"/>
    </row>
    <row r="18" spans="1:10" ht="20.100000000000001" customHeight="1" x14ac:dyDescent="0.25">
      <c r="A18" s="188"/>
      <c r="B18" s="189">
        <v>10</v>
      </c>
      <c r="C18" s="345" t="s">
        <v>81</v>
      </c>
      <c r="D18" s="345"/>
      <c r="E18" s="345"/>
      <c r="F18" s="345"/>
      <c r="G18" s="345"/>
      <c r="H18" s="345"/>
      <c r="I18" s="345"/>
      <c r="J18" s="345"/>
    </row>
    <row r="19" spans="1:10" ht="69.75" customHeight="1" x14ac:dyDescent="0.25">
      <c r="A19" s="188"/>
      <c r="B19" s="189">
        <v>11</v>
      </c>
      <c r="C19" s="345" t="s">
        <v>82</v>
      </c>
      <c r="D19" s="345"/>
      <c r="E19" s="345"/>
      <c r="F19" s="345"/>
      <c r="G19" s="345"/>
      <c r="H19" s="345"/>
      <c r="I19" s="345"/>
      <c r="J19" s="345"/>
    </row>
    <row r="20" spans="1:10" ht="20.100000000000001" customHeight="1" x14ac:dyDescent="0.25">
      <c r="A20" s="188"/>
      <c r="B20" s="189">
        <v>12</v>
      </c>
      <c r="C20" s="344" t="s">
        <v>83</v>
      </c>
      <c r="D20" s="344"/>
      <c r="E20" s="344"/>
      <c r="F20" s="344"/>
      <c r="G20" s="344"/>
      <c r="H20" s="344"/>
      <c r="I20" s="344"/>
      <c r="J20" s="344"/>
    </row>
    <row r="21" spans="1:10" ht="20.100000000000001" customHeight="1" x14ac:dyDescent="0.25">
      <c r="A21" s="188"/>
      <c r="B21" s="189">
        <v>13</v>
      </c>
      <c r="C21" s="347" t="s">
        <v>84</v>
      </c>
      <c r="D21" s="347"/>
      <c r="E21" s="347"/>
      <c r="F21" s="347"/>
      <c r="G21" s="347"/>
      <c r="H21" s="347"/>
      <c r="I21" s="347"/>
      <c r="J21" s="347"/>
    </row>
    <row r="22" spans="1:10" ht="20.100000000000001" customHeight="1" x14ac:dyDescent="0.25">
      <c r="A22" s="188"/>
      <c r="B22" s="189">
        <v>14</v>
      </c>
      <c r="C22" s="344" t="s">
        <v>142</v>
      </c>
      <c r="D22" s="344"/>
      <c r="E22" s="344"/>
      <c r="F22" s="344"/>
      <c r="G22" s="344"/>
      <c r="H22" s="344"/>
      <c r="I22" s="344"/>
      <c r="J22" s="344"/>
    </row>
    <row r="23" spans="1:10" ht="20.100000000000001" customHeight="1" x14ac:dyDescent="0.25">
      <c r="A23" s="188"/>
      <c r="B23" s="189"/>
      <c r="C23" s="212"/>
      <c r="D23" s="212"/>
      <c r="E23" s="212"/>
      <c r="F23" s="212"/>
      <c r="G23" s="212"/>
      <c r="H23" s="212"/>
      <c r="I23" s="212"/>
      <c r="J23" s="212"/>
    </row>
    <row r="24" spans="1:10" ht="20.100000000000001" customHeight="1" x14ac:dyDescent="0.25">
      <c r="A24" s="188"/>
      <c r="B24" s="189"/>
      <c r="C24" s="212"/>
      <c r="D24" s="212"/>
      <c r="E24" s="212"/>
      <c r="F24" s="212"/>
      <c r="G24" s="212"/>
      <c r="H24" s="212"/>
      <c r="I24" s="212"/>
      <c r="J24" s="212"/>
    </row>
    <row r="25" spans="1:10" ht="16.5" thickBot="1" x14ac:dyDescent="0.3">
      <c r="B25" s="213"/>
      <c r="C25" s="214"/>
      <c r="D25" s="214"/>
      <c r="E25" s="214"/>
      <c r="F25" s="214"/>
      <c r="G25" s="214"/>
      <c r="H25" s="214"/>
      <c r="I25" s="214"/>
      <c r="J25" s="214"/>
    </row>
    <row r="26" spans="1:10" ht="15.75" customHeight="1" x14ac:dyDescent="0.25">
      <c r="B26" s="342" t="s">
        <v>85</v>
      </c>
      <c r="C26" s="342"/>
      <c r="D26" s="342"/>
      <c r="E26" s="342"/>
      <c r="F26" s="342"/>
      <c r="G26" s="342"/>
      <c r="H26" s="342"/>
      <c r="I26" s="342"/>
      <c r="J26" s="342"/>
    </row>
    <row r="27" spans="1:10" x14ac:dyDescent="0.25">
      <c r="B27" s="343"/>
      <c r="C27" s="343"/>
      <c r="D27" s="343"/>
      <c r="E27" s="343"/>
      <c r="F27" s="343"/>
      <c r="G27" s="343"/>
      <c r="H27" s="343"/>
      <c r="I27" s="343"/>
      <c r="J27" s="343"/>
    </row>
    <row r="28" spans="1:10" x14ac:dyDescent="0.25">
      <c r="B28" s="192"/>
    </row>
  </sheetData>
  <mergeCells count="16">
    <mergeCell ref="C13:J13"/>
    <mergeCell ref="C22:J22"/>
    <mergeCell ref="C8:J8"/>
    <mergeCell ref="C9:J9"/>
    <mergeCell ref="C10:J10"/>
    <mergeCell ref="C11:J11"/>
    <mergeCell ref="C12:J12"/>
    <mergeCell ref="C20:J20"/>
    <mergeCell ref="C21:J21"/>
    <mergeCell ref="B26:J27"/>
    <mergeCell ref="C14:J14"/>
    <mergeCell ref="C15:J15"/>
    <mergeCell ref="C16:J16"/>
    <mergeCell ref="C17:J17"/>
    <mergeCell ref="C18:J18"/>
    <mergeCell ref="C19:J19"/>
  </mergeCells>
  <hyperlinks>
    <hyperlink ref="C12" r:id="rId1"/>
    <hyperlink ref="C21" r:id="rId2"/>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12"/>
  <sheetViews>
    <sheetView showGridLines="0" zoomScaleNormal="100" workbookViewId="0">
      <selection activeCell="C16" sqref="C16"/>
    </sheetView>
  </sheetViews>
  <sheetFormatPr defaultRowHeight="14.25" x14ac:dyDescent="0.2"/>
  <cols>
    <col min="1" max="1" width="1.375" style="2" customWidth="1"/>
    <col min="2" max="16384" width="9" style="2"/>
  </cols>
  <sheetData>
    <row r="1" spans="2:2" ht="18.75" customHeight="1" x14ac:dyDescent="0.2"/>
    <row r="2" spans="2:2" ht="18.75" customHeight="1" x14ac:dyDescent="0.2"/>
    <row r="5" spans="2:2" x14ac:dyDescent="0.2">
      <c r="B5" s="193" t="s">
        <v>86</v>
      </c>
    </row>
    <row r="6" spans="2:2" x14ac:dyDescent="0.2">
      <c r="B6" s="193" t="s">
        <v>87</v>
      </c>
    </row>
    <row r="7" spans="2:2" x14ac:dyDescent="0.2">
      <c r="B7" s="193" t="s">
        <v>88</v>
      </c>
    </row>
    <row r="8" spans="2:2" x14ac:dyDescent="0.2">
      <c r="B8" s="194"/>
    </row>
    <row r="9" spans="2:2" x14ac:dyDescent="0.2">
      <c r="B9" s="193" t="s">
        <v>89</v>
      </c>
    </row>
    <row r="10" spans="2:2" x14ac:dyDescent="0.2">
      <c r="B10" s="193" t="s">
        <v>90</v>
      </c>
    </row>
    <row r="11" spans="2:2" x14ac:dyDescent="0.2">
      <c r="B11" s="194" t="s">
        <v>91</v>
      </c>
    </row>
    <row r="12" spans="2:2" x14ac:dyDescent="0.2">
      <c r="B12" s="188"/>
    </row>
  </sheetData>
  <sheetProtection algorithmName="SHA-512" hashValue="MKblSS7HRkuFEulcjbGviiT+s5oTzDgu7nF2GBm2gopPzq14aWPEr57Go3+zoZ6+MDFSLYi/YJRRLDyeIwgwYA==" saltValue="UDE4x9aBXB9eej7tMHuEfw==" spinCount="100000" sheet="1" objects="1" scenario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5"/>
  <sheetViews>
    <sheetView workbookViewId="0">
      <selection activeCell="B11" sqref="B11"/>
    </sheetView>
  </sheetViews>
  <sheetFormatPr defaultRowHeight="15.75" x14ac:dyDescent="0.25"/>
  <sheetData>
    <row r="1" spans="1:2" x14ac:dyDescent="0.25">
      <c r="A1">
        <v>4000</v>
      </c>
      <c r="B1" s="195">
        <v>0.5</v>
      </c>
    </row>
    <row r="2" spans="1:2" x14ac:dyDescent="0.25">
      <c r="A2">
        <v>4500</v>
      </c>
      <c r="B2" s="195">
        <v>0.6</v>
      </c>
    </row>
    <row r="3" spans="1:2" x14ac:dyDescent="0.25">
      <c r="A3">
        <v>5000</v>
      </c>
      <c r="B3" s="195">
        <v>0.7</v>
      </c>
    </row>
    <row r="4" spans="1:2" x14ac:dyDescent="0.25">
      <c r="A4">
        <v>5500</v>
      </c>
      <c r="B4" s="195">
        <v>0.8</v>
      </c>
    </row>
    <row r="5" spans="1:2" x14ac:dyDescent="0.25">
      <c r="A5">
        <v>6000</v>
      </c>
      <c r="B5" s="195">
        <v>0.9</v>
      </c>
    </row>
    <row r="6" spans="1:2" x14ac:dyDescent="0.25">
      <c r="A6">
        <v>6500</v>
      </c>
      <c r="B6" s="195">
        <v>1</v>
      </c>
    </row>
    <row r="7" spans="1:2" x14ac:dyDescent="0.25">
      <c r="A7">
        <v>7000</v>
      </c>
      <c r="B7" s="195">
        <v>1.1000000000000001</v>
      </c>
    </row>
    <row r="8" spans="1:2" x14ac:dyDescent="0.25">
      <c r="A8">
        <v>7500</v>
      </c>
      <c r="B8" s="195">
        <v>1.2</v>
      </c>
    </row>
    <row r="9" spans="1:2" x14ac:dyDescent="0.25">
      <c r="A9">
        <v>8000</v>
      </c>
      <c r="B9" s="195">
        <v>1.3</v>
      </c>
    </row>
    <row r="10" spans="1:2" x14ac:dyDescent="0.25">
      <c r="A10">
        <v>8500</v>
      </c>
      <c r="B10" s="195">
        <v>1.4</v>
      </c>
    </row>
    <row r="11" spans="1:2" x14ac:dyDescent="0.25">
      <c r="A11">
        <v>9000</v>
      </c>
      <c r="B11" s="195">
        <v>1.5</v>
      </c>
    </row>
    <row r="12" spans="1:2" x14ac:dyDescent="0.25">
      <c r="A12">
        <v>9500</v>
      </c>
      <c r="B12" s="195">
        <v>1.6</v>
      </c>
    </row>
    <row r="13" spans="1:2" x14ac:dyDescent="0.25">
      <c r="A13">
        <v>10000</v>
      </c>
      <c r="B13" s="195">
        <v>1.7</v>
      </c>
    </row>
    <row r="14" spans="1:2" x14ac:dyDescent="0.25">
      <c r="A14">
        <v>10500</v>
      </c>
      <c r="B14" s="195">
        <v>1.8</v>
      </c>
    </row>
    <row r="15" spans="1:2" x14ac:dyDescent="0.25">
      <c r="A15">
        <v>11000</v>
      </c>
      <c r="B15" s="195">
        <v>1.9</v>
      </c>
    </row>
  </sheetData>
  <sheetProtection algorithmName="SHA-512" hashValue="Xs84/uphgpdkGTWF3iXCP0stWymg5+QnNA9F8sPXoM0w84imr46ky43dnggXfPM/rn4B16x2WQuafSzF0F6G/w==" saltValue="KYmGI5COGu7ZYOcBSQZzJ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election activeCell="K9" sqref="K9"/>
    </sheetView>
  </sheetViews>
  <sheetFormatPr defaultRowHeight="15" outlineLevelRow="1" x14ac:dyDescent="0.25"/>
  <cols>
    <col min="1" max="1" width="1.375" style="215" customWidth="1"/>
    <col min="2" max="2" width="4.375" style="215" customWidth="1"/>
    <col min="3" max="3" width="2.875" style="215" customWidth="1"/>
    <col min="4" max="4" width="44.75" style="215" customWidth="1"/>
    <col min="5" max="5" width="9.375" style="215" customWidth="1"/>
    <col min="6" max="6" width="2.375" style="215" customWidth="1"/>
    <col min="7" max="9" width="8.5" style="215" customWidth="1"/>
    <col min="10" max="10" width="10.5" style="215" customWidth="1"/>
    <col min="11" max="11" width="8.5" style="215" customWidth="1"/>
    <col min="12" max="12" width="6.5" style="215" customWidth="1"/>
    <col min="13" max="13" width="10.125" style="215" customWidth="1"/>
    <col min="14" max="16" width="9.5" style="215" customWidth="1"/>
    <col min="17" max="17" width="11.625" style="215" customWidth="1"/>
    <col min="18" max="20" width="9.5" style="215" customWidth="1"/>
    <col min="21" max="16384" width="9" style="215"/>
  </cols>
  <sheetData>
    <row r="1" spans="1:22" ht="18" x14ac:dyDescent="0.25">
      <c r="A1" s="287"/>
      <c r="B1" s="287"/>
      <c r="C1" s="287"/>
      <c r="D1" s="287"/>
      <c r="U1" s="225"/>
      <c r="V1" s="225"/>
    </row>
    <row r="2" spans="1:22" ht="23.25" x14ac:dyDescent="0.35">
      <c r="A2" s="291"/>
      <c r="B2" s="290" t="s">
        <v>0</v>
      </c>
      <c r="C2" s="288"/>
      <c r="D2" s="288"/>
      <c r="E2" s="291"/>
      <c r="F2" s="290"/>
      <c r="G2" s="288"/>
      <c r="H2" s="288"/>
      <c r="I2" s="291"/>
      <c r="J2" s="290"/>
      <c r="K2" s="288"/>
      <c r="L2" s="288"/>
      <c r="M2" s="288"/>
      <c r="N2" s="291"/>
      <c r="O2" s="290"/>
      <c r="P2" s="288"/>
      <c r="Q2" s="288"/>
      <c r="R2" s="291"/>
      <c r="S2" s="290"/>
      <c r="T2" s="288"/>
      <c r="U2" s="225"/>
      <c r="V2" s="225"/>
    </row>
    <row r="3" spans="1:22" ht="23.25" x14ac:dyDescent="0.25">
      <c r="A3" s="288"/>
      <c r="B3" s="289" t="s">
        <v>1</v>
      </c>
      <c r="C3" s="288"/>
      <c r="D3" s="288"/>
      <c r="E3" s="288"/>
      <c r="F3" s="289"/>
      <c r="G3" s="288"/>
      <c r="H3" s="288"/>
      <c r="I3" s="288"/>
      <c r="J3" s="289"/>
      <c r="K3" s="288"/>
      <c r="L3" s="288"/>
      <c r="M3" s="288"/>
      <c r="N3" s="288"/>
      <c r="O3" s="289"/>
      <c r="P3" s="288"/>
      <c r="Q3" s="288"/>
      <c r="R3" s="288"/>
      <c r="S3" s="289"/>
      <c r="T3" s="288"/>
      <c r="U3" s="225"/>
      <c r="V3" s="225"/>
    </row>
    <row r="4" spans="1:22" ht="18" x14ac:dyDescent="0.25">
      <c r="A4" s="287"/>
      <c r="B4" s="287"/>
      <c r="C4" s="287"/>
      <c r="D4" s="287"/>
      <c r="E4" s="287"/>
      <c r="F4" s="287"/>
      <c r="G4" s="287"/>
      <c r="H4" s="287"/>
      <c r="I4" s="287"/>
      <c r="J4" s="287"/>
      <c r="K4" s="287"/>
      <c r="L4" s="287"/>
      <c r="M4" s="287"/>
      <c r="N4" s="287"/>
      <c r="O4" s="287"/>
      <c r="P4" s="287"/>
      <c r="Q4" s="287"/>
      <c r="R4" s="287"/>
    </row>
    <row r="5" spans="1:22" x14ac:dyDescent="0.25">
      <c r="A5" s="225"/>
      <c r="B5" s="225"/>
      <c r="C5" s="225"/>
      <c r="D5" s="225"/>
      <c r="E5" s="225"/>
      <c r="F5" s="225"/>
      <c r="G5" s="225"/>
      <c r="H5" s="225"/>
      <c r="I5" s="225"/>
      <c r="J5" s="225"/>
      <c r="K5" s="286"/>
      <c r="L5" s="225"/>
    </row>
    <row r="6" spans="1:22" x14ac:dyDescent="0.25">
      <c r="A6" s="225"/>
      <c r="B6" s="225"/>
      <c r="C6" s="225"/>
      <c r="D6" s="225"/>
      <c r="E6" s="225"/>
      <c r="F6" s="225"/>
      <c r="G6" s="225"/>
      <c r="H6" s="225"/>
      <c r="I6" s="225"/>
      <c r="J6" s="225"/>
      <c r="K6" s="286"/>
      <c r="L6" s="225"/>
    </row>
    <row r="7" spans="1:22" x14ac:dyDescent="0.25">
      <c r="A7" s="225"/>
      <c r="B7" s="225"/>
      <c r="C7" s="225"/>
      <c r="D7" s="225"/>
      <c r="E7" s="225"/>
      <c r="F7" s="225"/>
      <c r="G7" s="225"/>
      <c r="H7" s="225"/>
      <c r="I7" s="225"/>
      <c r="J7" s="225"/>
      <c r="K7" s="286"/>
      <c r="L7" s="225"/>
    </row>
    <row r="8" spans="1:22" ht="39" x14ac:dyDescent="0.25">
      <c r="A8" s="225"/>
      <c r="B8" s="274" t="s">
        <v>2</v>
      </c>
      <c r="C8" s="274"/>
      <c r="D8" s="285"/>
      <c r="E8" s="275" t="s">
        <v>3</v>
      </c>
      <c r="F8" s="284"/>
      <c r="G8" s="275" t="s">
        <v>4</v>
      </c>
      <c r="H8" s="283" t="s">
        <v>120</v>
      </c>
      <c r="I8" s="283" t="s">
        <v>119</v>
      </c>
      <c r="J8" s="283"/>
      <c r="K8" s="283" t="s">
        <v>7</v>
      </c>
      <c r="L8" s="225"/>
      <c r="M8" s="274" t="s">
        <v>8</v>
      </c>
      <c r="N8" s="275"/>
      <c r="O8" s="274"/>
      <c r="P8" s="275"/>
      <c r="Q8" s="282" t="s">
        <v>9</v>
      </c>
    </row>
    <row r="9" spans="1:22" x14ac:dyDescent="0.25">
      <c r="A9" s="225"/>
      <c r="B9" s="237">
        <f>MAX($A$1:B8)+1</f>
        <v>1</v>
      </c>
      <c r="C9" s="254" t="s">
        <v>141</v>
      </c>
      <c r="D9" s="256"/>
      <c r="E9" s="255" t="s">
        <v>12</v>
      </c>
      <c r="F9" s="254"/>
      <c r="G9" s="259"/>
      <c r="H9" s="252"/>
      <c r="I9" s="251"/>
      <c r="J9" s="250"/>
      <c r="K9" s="249">
        <f>Stundensatz!K9</f>
        <v>98.9</v>
      </c>
      <c r="L9" s="225"/>
      <c r="M9" s="247" t="s">
        <v>140</v>
      </c>
      <c r="N9" s="247"/>
      <c r="O9" s="247"/>
      <c r="P9" s="247"/>
      <c r="Q9" s="281">
        <f>Stundensatz!Q9+E29+E46+E63</f>
        <v>25</v>
      </c>
    </row>
    <row r="10" spans="1:22" x14ac:dyDescent="0.25">
      <c r="A10" s="225"/>
      <c r="B10" s="237"/>
      <c r="C10" s="247"/>
      <c r="D10" s="245"/>
      <c r="E10" s="246"/>
      <c r="F10" s="245"/>
      <c r="G10" s="244"/>
      <c r="H10" s="243"/>
      <c r="I10" s="242"/>
      <c r="J10" s="241"/>
      <c r="K10" s="240"/>
      <c r="L10" s="225"/>
      <c r="M10" s="247" t="s">
        <v>94</v>
      </c>
      <c r="N10" s="247"/>
      <c r="O10" s="247"/>
      <c r="P10" s="247"/>
      <c r="Q10" s="242">
        <f>Q21</f>
        <v>2</v>
      </c>
    </row>
    <row r="11" spans="1:22" ht="15.75" thickBot="1" x14ac:dyDescent="0.3">
      <c r="A11" s="225"/>
      <c r="B11" s="237">
        <f>MAX($A$1:B10)+1</f>
        <v>2</v>
      </c>
      <c r="C11" s="254" t="s">
        <v>116</v>
      </c>
      <c r="D11" s="256"/>
      <c r="E11" s="255" t="s">
        <v>12</v>
      </c>
      <c r="F11" s="254"/>
      <c r="G11" s="259"/>
      <c r="H11" s="252"/>
      <c r="I11" s="321">
        <f>Stundensatz!I11</f>
        <v>2000</v>
      </c>
      <c r="J11" s="279"/>
      <c r="K11" s="278">
        <f>I11/($Q$11*12)</f>
        <v>3.3333333333333335</v>
      </c>
      <c r="L11" s="225"/>
      <c r="M11" s="277" t="s">
        <v>115</v>
      </c>
      <c r="N11" s="277"/>
      <c r="O11" s="277"/>
      <c r="P11" s="277"/>
      <c r="Q11" s="277">
        <f>Q9*Q10</f>
        <v>50</v>
      </c>
    </row>
    <row r="12" spans="1:22" x14ac:dyDescent="0.25">
      <c r="A12" s="225"/>
      <c r="B12" s="237"/>
      <c r="C12" s="247"/>
      <c r="D12" s="245"/>
      <c r="E12" s="246"/>
      <c r="F12" s="245"/>
      <c r="G12" s="244"/>
      <c r="H12" s="243"/>
      <c r="I12" s="242"/>
      <c r="J12" s="241"/>
      <c r="K12" s="240"/>
      <c r="L12" s="276"/>
    </row>
    <row r="13" spans="1:22" x14ac:dyDescent="0.25">
      <c r="A13" s="225"/>
      <c r="B13" s="237">
        <f>MAX($A$1:B12)+1</f>
        <v>3</v>
      </c>
      <c r="C13" s="254" t="s">
        <v>139</v>
      </c>
      <c r="D13" s="256"/>
      <c r="E13" s="255" t="s">
        <v>12</v>
      </c>
      <c r="F13" s="254"/>
      <c r="G13" s="259"/>
      <c r="H13" s="252"/>
      <c r="I13" s="251">
        <f>Stundensatz!I13</f>
        <v>42269</v>
      </c>
      <c r="J13" s="250"/>
      <c r="K13" s="249">
        <f>SUM(K14:K18)</f>
        <v>42.948333333333338</v>
      </c>
      <c r="L13" s="225"/>
    </row>
    <row r="14" spans="1:22" x14ac:dyDescent="0.25">
      <c r="A14" s="225"/>
      <c r="B14" s="237"/>
      <c r="C14" s="247" t="s">
        <v>138</v>
      </c>
      <c r="D14" s="245"/>
      <c r="E14" s="246" t="s">
        <v>12</v>
      </c>
      <c r="F14" s="245"/>
      <c r="G14" s="244"/>
      <c r="H14" s="243"/>
      <c r="I14" s="242">
        <f>Stundensatz!I14</f>
        <v>2000</v>
      </c>
      <c r="J14" s="241"/>
      <c r="K14" s="240">
        <f>I14/($Q$11*12)</f>
        <v>3.3333333333333335</v>
      </c>
      <c r="L14" s="225"/>
      <c r="M14" s="274" t="s">
        <v>109</v>
      </c>
      <c r="N14" s="275"/>
      <c r="O14" s="274"/>
      <c r="P14" s="275"/>
      <c r="Q14" s="274"/>
    </row>
    <row r="15" spans="1:22" x14ac:dyDescent="0.25">
      <c r="A15" s="225"/>
      <c r="B15" s="237"/>
      <c r="C15" s="247" t="s">
        <v>112</v>
      </c>
      <c r="D15" s="245"/>
      <c r="E15" s="246" t="s">
        <v>12</v>
      </c>
      <c r="F15" s="245"/>
      <c r="G15" s="244"/>
      <c r="H15" s="243"/>
      <c r="I15" s="242">
        <f>Stundensatz!I15</f>
        <v>1500</v>
      </c>
      <c r="J15" s="241"/>
      <c r="K15" s="240">
        <f>I15/($Q$11*12)</f>
        <v>2.5</v>
      </c>
      <c r="L15" s="225"/>
      <c r="M15" s="248" t="s">
        <v>137</v>
      </c>
      <c r="N15" s="248"/>
      <c r="O15" s="248"/>
      <c r="P15" s="248"/>
      <c r="Q15" s="320">
        <f>Stundensatz!Q16</f>
        <v>1.5</v>
      </c>
    </row>
    <row r="16" spans="1:22" x14ac:dyDescent="0.25">
      <c r="A16" s="225"/>
      <c r="B16" s="237"/>
      <c r="C16" s="247" t="s">
        <v>136</v>
      </c>
      <c r="D16" s="245"/>
      <c r="E16" s="246" t="s">
        <v>12</v>
      </c>
      <c r="F16" s="245"/>
      <c r="G16" s="244"/>
      <c r="H16" s="273">
        <f>Stundensatz!H16</f>
        <v>10</v>
      </c>
      <c r="I16" s="242">
        <f>Stundensatz!I16</f>
        <v>11868</v>
      </c>
      <c r="J16" s="241"/>
      <c r="K16" s="240">
        <f>I16/($Q$11*12)</f>
        <v>19.78</v>
      </c>
      <c r="L16" s="225"/>
      <c r="M16" s="248" t="s">
        <v>108</v>
      </c>
      <c r="N16" s="248"/>
      <c r="O16" s="248"/>
      <c r="P16" s="248"/>
      <c r="Q16" s="271">
        <f>Stundensatz!Q17+$D$46</f>
        <v>1000</v>
      </c>
    </row>
    <row r="17" spans="1:21" x14ac:dyDescent="0.25">
      <c r="A17" s="225"/>
      <c r="B17" s="237"/>
      <c r="C17" s="247" t="s">
        <v>109</v>
      </c>
      <c r="D17" s="245"/>
      <c r="E17" s="246" t="s">
        <v>12</v>
      </c>
      <c r="F17" s="245"/>
      <c r="G17" s="244"/>
      <c r="H17" s="243"/>
      <c r="I17" s="242">
        <f>Q17</f>
        <v>1500</v>
      </c>
      <c r="J17" s="241"/>
      <c r="K17" s="240">
        <f>I17/($Q$11*12)</f>
        <v>2.5</v>
      </c>
      <c r="L17" s="225"/>
      <c r="M17" s="248" t="s">
        <v>135</v>
      </c>
      <c r="N17" s="248"/>
      <c r="O17" s="248"/>
      <c r="P17" s="248"/>
      <c r="Q17" s="319">
        <f>Q16*Q15</f>
        <v>1500</v>
      </c>
    </row>
    <row r="18" spans="1:21" x14ac:dyDescent="0.25">
      <c r="A18" s="225"/>
      <c r="B18" s="237"/>
      <c r="C18" s="247" t="s">
        <v>107</v>
      </c>
      <c r="D18" s="245"/>
      <c r="E18" s="246" t="s">
        <v>12</v>
      </c>
      <c r="F18" s="245"/>
      <c r="G18" s="244"/>
      <c r="H18" s="270">
        <f>Q19*Stundensatz!H19</f>
        <v>7.5</v>
      </c>
      <c r="I18" s="242">
        <f>H18*$K$9*12</f>
        <v>8901</v>
      </c>
      <c r="J18" s="241"/>
      <c r="K18" s="240">
        <f>I18/($Q$11*12)</f>
        <v>14.835000000000001</v>
      </c>
      <c r="L18" s="225"/>
      <c r="M18" s="248" t="str">
        <f>Stundensatz!M19</f>
        <v>Conversion rate (für Lead)</v>
      </c>
      <c r="N18" s="248"/>
      <c r="O18" s="248"/>
      <c r="P18" s="248"/>
      <c r="Q18" s="264">
        <f>Stundensatz!Q19+D63</f>
        <v>0.01</v>
      </c>
    </row>
    <row r="19" spans="1:21" x14ac:dyDescent="0.25">
      <c r="A19" s="225"/>
      <c r="B19" s="263"/>
      <c r="C19" s="247"/>
      <c r="D19" s="262"/>
      <c r="E19" s="246"/>
      <c r="F19" s="262"/>
      <c r="G19" s="237"/>
      <c r="H19" s="261"/>
      <c r="I19" s="260"/>
      <c r="J19" s="241"/>
      <c r="K19" s="240"/>
      <c r="L19" s="225"/>
      <c r="M19" s="248" t="str">
        <f>Stundensatz!M20</f>
        <v>Anzahl Anfragen (Leads)</v>
      </c>
      <c r="N19" s="248"/>
      <c r="O19" s="248"/>
      <c r="P19" s="248"/>
      <c r="Q19" s="248">
        <f>Q16*Q18</f>
        <v>10</v>
      </c>
    </row>
    <row r="20" spans="1:21" x14ac:dyDescent="0.25">
      <c r="A20" s="225"/>
      <c r="B20" s="237">
        <f>MAX($A$1:B19)+1</f>
        <v>4</v>
      </c>
      <c r="C20" s="254" t="s">
        <v>101</v>
      </c>
      <c r="D20" s="256"/>
      <c r="E20" s="255" t="s">
        <v>12</v>
      </c>
      <c r="F20" s="254"/>
      <c r="G20" s="259"/>
      <c r="H20" s="258">
        <f>Stundensatz!H21</f>
        <v>5</v>
      </c>
      <c r="I20" s="251">
        <f>Stundensatz!I21</f>
        <v>5934</v>
      </c>
      <c r="J20" s="250"/>
      <c r="K20" s="249">
        <f>I20/(Q11*12)</f>
        <v>9.89</v>
      </c>
      <c r="L20" s="225"/>
      <c r="M20" s="248" t="str">
        <f>Stundensatz!M21</f>
        <v>Erfolgsrate Offerte</v>
      </c>
      <c r="N20" s="248"/>
      <c r="O20" s="248"/>
      <c r="P20" s="248"/>
      <c r="Q20" s="318">
        <f>Stundensatz!Q21</f>
        <v>0.2</v>
      </c>
    </row>
    <row r="21" spans="1:21" x14ac:dyDescent="0.25">
      <c r="A21" s="225"/>
      <c r="B21" s="237"/>
      <c r="C21" s="247"/>
      <c r="D21" s="245"/>
      <c r="E21" s="246"/>
      <c r="F21" s="245"/>
      <c r="G21" s="244"/>
      <c r="H21" s="243"/>
      <c r="I21" s="242"/>
      <c r="J21" s="241"/>
      <c r="K21" s="240"/>
      <c r="L21" s="225"/>
      <c r="M21" s="248" t="str">
        <f>Stundensatz!M22</f>
        <v>Anzahl der Aufträge</v>
      </c>
      <c r="N21" s="248"/>
      <c r="O21" s="248"/>
      <c r="P21" s="248"/>
      <c r="Q21" s="317">
        <f>Q19*Q20+D29</f>
        <v>2</v>
      </c>
    </row>
    <row r="22" spans="1:21" x14ac:dyDescent="0.25">
      <c r="A22" s="225"/>
      <c r="B22" s="237">
        <f>MAX($A$1:B21)+1</f>
        <v>5</v>
      </c>
      <c r="C22" s="254" t="s">
        <v>98</v>
      </c>
      <c r="D22" s="256"/>
      <c r="E22" s="255"/>
      <c r="F22" s="254"/>
      <c r="G22" s="253">
        <f>Stundensatz!G23</f>
        <v>0.2</v>
      </c>
      <c r="H22" s="252"/>
      <c r="I22" s="251"/>
      <c r="J22" s="250"/>
      <c r="K22" s="249">
        <f>(K9+K11+K13+K20)*$G$22</f>
        <v>31.014333333333333</v>
      </c>
      <c r="L22" s="225"/>
      <c r="M22" s="248"/>
      <c r="N22" s="248"/>
      <c r="O22" s="248"/>
      <c r="P22" s="248"/>
      <c r="Q22" s="248"/>
    </row>
    <row r="23" spans="1:21" ht="15.75" thickBot="1" x14ac:dyDescent="0.3">
      <c r="A23" s="225"/>
      <c r="B23" s="237"/>
      <c r="C23" s="247"/>
      <c r="D23" s="245"/>
      <c r="E23" s="246"/>
      <c r="F23" s="245"/>
      <c r="G23" s="244"/>
      <c r="H23" s="243"/>
      <c r="I23" s="242"/>
      <c r="J23" s="241"/>
      <c r="K23" s="240"/>
      <c r="L23" s="225"/>
      <c r="M23" s="239" t="s">
        <v>134</v>
      </c>
      <c r="N23" s="239"/>
      <c r="O23" s="239"/>
      <c r="P23" s="239"/>
      <c r="Q23" s="238">
        <f>Q17/Q21</f>
        <v>750</v>
      </c>
    </row>
    <row r="24" spans="1:21" ht="16.5" thickTop="1" thickBot="1" x14ac:dyDescent="0.3">
      <c r="A24" s="225"/>
      <c r="B24" s="237">
        <f>MAX($A$1:B23)+1</f>
        <v>6</v>
      </c>
      <c r="C24" s="236" t="s">
        <v>96</v>
      </c>
      <c r="D24" s="233"/>
      <c r="E24" s="235"/>
      <c r="F24" s="233"/>
      <c r="G24" s="234"/>
      <c r="H24" s="233"/>
      <c r="I24" s="232"/>
      <c r="J24" s="231"/>
      <c r="K24" s="230">
        <f>K9+K11+K13+K20+K22</f>
        <v>186.08599999999998</v>
      </c>
      <c r="L24" s="225"/>
      <c r="P24" s="225"/>
    </row>
    <row r="25" spans="1:21" ht="15.75" thickTop="1" x14ac:dyDescent="0.25"/>
    <row r="26" spans="1:21" x14ac:dyDescent="0.25">
      <c r="C26" s="215" t="s">
        <v>133</v>
      </c>
    </row>
    <row r="27" spans="1:21" x14ac:dyDescent="0.25">
      <c r="H27" s="229"/>
    </row>
    <row r="28" spans="1:21" outlineLevel="1" x14ac:dyDescent="0.25">
      <c r="D28" s="215" t="s">
        <v>126</v>
      </c>
      <c r="E28" s="215" t="s">
        <v>130</v>
      </c>
    </row>
    <row r="29" spans="1:21" outlineLevel="1" x14ac:dyDescent="0.25">
      <c r="D29" s="316"/>
      <c r="E29" s="316"/>
      <c r="M29" s="221" t="s">
        <v>93</v>
      </c>
      <c r="N29" s="220"/>
      <c r="O29" s="220"/>
      <c r="P29" s="341" t="s">
        <v>92</v>
      </c>
      <c r="Q29" s="348"/>
      <c r="R29" s="348"/>
      <c r="S29" s="348"/>
      <c r="T29" s="348"/>
      <c r="U29" s="349"/>
    </row>
    <row r="30" spans="1:21" ht="39" customHeight="1" outlineLevel="1" x14ac:dyDescent="0.25">
      <c r="D30" s="215" t="s">
        <v>129</v>
      </c>
      <c r="E30" s="215" t="s">
        <v>128</v>
      </c>
      <c r="J30" s="226"/>
      <c r="K30" s="225"/>
      <c r="L30" s="225"/>
      <c r="M30" s="341" t="s">
        <v>94</v>
      </c>
      <c r="N30" s="218"/>
      <c r="O30" s="218"/>
      <c r="P30" s="218">
        <f>Q30-$E$31</f>
        <v>15</v>
      </c>
      <c r="Q30" s="218">
        <v>25</v>
      </c>
      <c r="R30" s="218">
        <f t="shared" ref="R30:U31" si="0">Q30+$E$31</f>
        <v>35</v>
      </c>
      <c r="S30" s="218">
        <f t="shared" si="0"/>
        <v>45</v>
      </c>
      <c r="T30" s="218">
        <f t="shared" si="0"/>
        <v>55</v>
      </c>
      <c r="U30" s="218">
        <f t="shared" si="0"/>
        <v>65</v>
      </c>
    </row>
    <row r="31" spans="1:21" outlineLevel="1" x14ac:dyDescent="0.25">
      <c r="D31" s="215" t="s">
        <v>127</v>
      </c>
      <c r="E31" s="315">
        <v>10</v>
      </c>
      <c r="J31" s="226"/>
      <c r="M31" s="341"/>
      <c r="N31" s="223"/>
      <c r="O31" s="219">
        <f>$K$24</f>
        <v>186.08599999999998</v>
      </c>
      <c r="P31" s="218">
        <f>Q31-$E$31</f>
        <v>-10</v>
      </c>
      <c r="Q31" s="218">
        <v>0</v>
      </c>
      <c r="R31" s="218">
        <f t="shared" si="0"/>
        <v>10</v>
      </c>
      <c r="S31" s="218">
        <f t="shared" si="0"/>
        <v>20</v>
      </c>
      <c r="T31" s="218">
        <f t="shared" si="0"/>
        <v>30</v>
      </c>
      <c r="U31" s="218">
        <f t="shared" si="0"/>
        <v>40</v>
      </c>
    </row>
    <row r="32" spans="1:21" outlineLevel="1" x14ac:dyDescent="0.25">
      <c r="D32" s="215" t="s">
        <v>126</v>
      </c>
      <c r="E32" s="315">
        <v>1</v>
      </c>
      <c r="J32" s="226"/>
      <c r="M32" s="341"/>
      <c r="N32" s="223">
        <f t="shared" ref="N32:O35" si="1">N33-$E$32</f>
        <v>-2</v>
      </c>
      <c r="O32" s="223">
        <f t="shared" si="1"/>
        <v>-4</v>
      </c>
      <c r="P32" s="216">
        <f t="dataTable" ref="P32:U43" dt2D="1" dtr="1" r1="E29" r2="D29" ca="1"/>
        <v>6.3366666666666784</v>
      </c>
      <c r="Q32" s="216">
        <v>51.274000000000008</v>
      </c>
      <c r="R32" s="216">
        <v>70.532857142857139</v>
      </c>
      <c r="S32" s="216">
        <v>81.232222222222234</v>
      </c>
      <c r="T32" s="216">
        <v>88.040909090909096</v>
      </c>
      <c r="U32" s="216">
        <v>92.754615384615391</v>
      </c>
    </row>
    <row r="33" spans="2:21" outlineLevel="1" x14ac:dyDescent="0.25">
      <c r="J33" s="226"/>
      <c r="M33" s="341"/>
      <c r="N33" s="223">
        <f t="shared" si="1"/>
        <v>-1</v>
      </c>
      <c r="O33" s="223">
        <f t="shared" si="1"/>
        <v>-3</v>
      </c>
      <c r="P33" s="216">
        <v>-106.00666666666665</v>
      </c>
      <c r="Q33" s="216">
        <v>-16.132000000000012</v>
      </c>
      <c r="R33" s="216">
        <v>22.385714285714304</v>
      </c>
      <c r="S33" s="216">
        <v>43.784444444444439</v>
      </c>
      <c r="T33" s="216">
        <v>57.401818181818193</v>
      </c>
      <c r="U33" s="216">
        <v>66.829230769230776</v>
      </c>
    </row>
    <row r="34" spans="2:21" outlineLevel="1" x14ac:dyDescent="0.25">
      <c r="J34" s="226"/>
      <c r="M34" s="341"/>
      <c r="N34" s="223">
        <f t="shared" si="1"/>
        <v>0</v>
      </c>
      <c r="O34" s="223">
        <f t="shared" si="1"/>
        <v>-2</v>
      </c>
      <c r="P34" s="216" t="e">
        <v>#DIV/0!</v>
      </c>
      <c r="Q34" s="216" t="e">
        <v>#DIV/0!</v>
      </c>
      <c r="R34" s="216" t="e">
        <v>#DIV/0!</v>
      </c>
      <c r="S34" s="216" t="e">
        <v>#DIV/0!</v>
      </c>
      <c r="T34" s="216" t="e">
        <v>#DIV/0!</v>
      </c>
      <c r="U34" s="216" t="e">
        <v>#DIV/0!</v>
      </c>
    </row>
    <row r="35" spans="2:21" outlineLevel="1" x14ac:dyDescent="0.25">
      <c r="J35" s="226"/>
      <c r="M35" s="341"/>
      <c r="N35" s="223">
        <f t="shared" si="1"/>
        <v>1</v>
      </c>
      <c r="O35" s="223">
        <f t="shared" si="1"/>
        <v>-1</v>
      </c>
      <c r="P35" s="216">
        <v>343.36666666666667</v>
      </c>
      <c r="Q35" s="216">
        <v>253.49200000000005</v>
      </c>
      <c r="R35" s="216">
        <v>214.97428571428571</v>
      </c>
      <c r="S35" s="216">
        <v>193.57555555555555</v>
      </c>
      <c r="T35" s="216">
        <v>179.95818181818183</v>
      </c>
      <c r="U35" s="216">
        <v>170.53076923076924</v>
      </c>
    </row>
    <row r="36" spans="2:21" outlineLevel="1" x14ac:dyDescent="0.25">
      <c r="J36" s="226"/>
      <c r="M36" s="341"/>
      <c r="N36" s="223">
        <f>Q10</f>
        <v>2</v>
      </c>
      <c r="O36" s="223">
        <v>0</v>
      </c>
      <c r="P36" s="216">
        <v>231.02333333333334</v>
      </c>
      <c r="Q36" s="216">
        <v>186.08599999999998</v>
      </c>
      <c r="R36" s="216">
        <v>166.82714285714286</v>
      </c>
      <c r="S36" s="216">
        <v>156.12777777777779</v>
      </c>
      <c r="T36" s="216">
        <v>149.3190909090909</v>
      </c>
      <c r="U36" s="216">
        <v>144.60538461538462</v>
      </c>
    </row>
    <row r="37" spans="2:21" outlineLevel="1" x14ac:dyDescent="0.25">
      <c r="J37" s="228"/>
      <c r="M37" s="341"/>
      <c r="N37" s="223">
        <f t="shared" ref="N37:O43" si="2">N36+$E$32</f>
        <v>3</v>
      </c>
      <c r="O37" s="223">
        <f t="shared" si="2"/>
        <v>1</v>
      </c>
      <c r="P37" s="216">
        <v>193.57555555555555</v>
      </c>
      <c r="Q37" s="216">
        <v>163.61733333333336</v>
      </c>
      <c r="R37" s="216">
        <v>150.77809523809523</v>
      </c>
      <c r="S37" s="216">
        <v>143.6451851851852</v>
      </c>
      <c r="T37" s="216">
        <v>139.10606060606062</v>
      </c>
      <c r="U37" s="216">
        <v>135.96358974358975</v>
      </c>
    </row>
    <row r="38" spans="2:21" outlineLevel="1" x14ac:dyDescent="0.25">
      <c r="J38" s="228"/>
      <c r="M38" s="341"/>
      <c r="N38" s="223">
        <f t="shared" si="2"/>
        <v>4</v>
      </c>
      <c r="O38" s="223">
        <f t="shared" si="2"/>
        <v>2</v>
      </c>
      <c r="P38" s="216">
        <v>174.85166666666669</v>
      </c>
      <c r="Q38" s="216">
        <v>152.38300000000001</v>
      </c>
      <c r="R38" s="216">
        <v>142.75357142857143</v>
      </c>
      <c r="S38" s="216">
        <v>137.4038888888889</v>
      </c>
      <c r="T38" s="216">
        <v>133.99954545454545</v>
      </c>
      <c r="U38" s="216">
        <v>131.64269230769233</v>
      </c>
    </row>
    <row r="39" spans="2:21" outlineLevel="1" x14ac:dyDescent="0.25">
      <c r="J39" s="226"/>
      <c r="M39" s="341"/>
      <c r="N39" s="223">
        <f t="shared" si="2"/>
        <v>5</v>
      </c>
      <c r="O39" s="223">
        <f t="shared" si="2"/>
        <v>3</v>
      </c>
      <c r="P39" s="216">
        <v>163.61733333333336</v>
      </c>
      <c r="Q39" s="216">
        <v>145.64240000000001</v>
      </c>
      <c r="R39" s="216">
        <v>137.93885714285716</v>
      </c>
      <c r="S39" s="216">
        <v>133.65911111111112</v>
      </c>
      <c r="T39" s="216">
        <v>130.93563636363638</v>
      </c>
      <c r="U39" s="216">
        <v>129.05015384615385</v>
      </c>
    </row>
    <row r="40" spans="2:21" outlineLevel="1" x14ac:dyDescent="0.25">
      <c r="J40" s="226"/>
      <c r="M40" s="341"/>
      <c r="N40" s="223">
        <f t="shared" si="2"/>
        <v>6</v>
      </c>
      <c r="O40" s="223">
        <f t="shared" si="2"/>
        <v>4</v>
      </c>
      <c r="P40" s="216">
        <v>156.12777777777779</v>
      </c>
      <c r="Q40" s="216">
        <v>141.14866666666668</v>
      </c>
      <c r="R40" s="216">
        <v>134.72904761904763</v>
      </c>
      <c r="S40" s="216">
        <v>131.1625925925926</v>
      </c>
      <c r="T40" s="216">
        <v>128.89303030303032</v>
      </c>
      <c r="U40" s="216">
        <v>127.32179487179488</v>
      </c>
    </row>
    <row r="41" spans="2:21" outlineLevel="1" x14ac:dyDescent="0.25">
      <c r="J41" s="227"/>
      <c r="M41" s="341"/>
      <c r="N41" s="223">
        <f t="shared" si="2"/>
        <v>7</v>
      </c>
      <c r="O41" s="223">
        <f t="shared" si="2"/>
        <v>5</v>
      </c>
      <c r="P41" s="216">
        <v>150.77809523809523</v>
      </c>
      <c r="Q41" s="216">
        <v>137.93885714285716</v>
      </c>
      <c r="R41" s="216">
        <v>132.43632653061226</v>
      </c>
      <c r="S41" s="216">
        <v>129.3793650793651</v>
      </c>
      <c r="T41" s="216">
        <v>127.43402597402599</v>
      </c>
      <c r="U41" s="216">
        <v>126.08725274725276</v>
      </c>
    </row>
    <row r="42" spans="2:21" outlineLevel="1" x14ac:dyDescent="0.25">
      <c r="J42" s="226"/>
      <c r="M42" s="341"/>
      <c r="N42" s="223">
        <f t="shared" si="2"/>
        <v>8</v>
      </c>
      <c r="O42" s="223">
        <f t="shared" si="2"/>
        <v>6</v>
      </c>
      <c r="P42" s="216">
        <v>146.76583333333332</v>
      </c>
      <c r="Q42" s="216">
        <v>135.53149999999999</v>
      </c>
      <c r="R42" s="216">
        <v>130.71678571428572</v>
      </c>
      <c r="S42" s="216">
        <v>128.04194444444445</v>
      </c>
      <c r="T42" s="216">
        <v>126.33977272727273</v>
      </c>
      <c r="U42" s="216">
        <v>125.16134615384617</v>
      </c>
    </row>
    <row r="43" spans="2:21" outlineLevel="1" x14ac:dyDescent="0.25">
      <c r="J43" s="226"/>
      <c r="M43" s="341"/>
      <c r="N43" s="223">
        <f t="shared" si="2"/>
        <v>9</v>
      </c>
      <c r="O43" s="223">
        <f t="shared" si="2"/>
        <v>7</v>
      </c>
      <c r="P43" s="216">
        <v>143.6451851851852</v>
      </c>
      <c r="Q43" s="216">
        <v>133.65911111111112</v>
      </c>
      <c r="R43" s="216">
        <v>129.3793650793651</v>
      </c>
      <c r="S43" s="216">
        <v>127.00172839506173</v>
      </c>
      <c r="T43" s="216">
        <v>125.48868686868687</v>
      </c>
      <c r="U43" s="216">
        <v>124.44119658119661</v>
      </c>
    </row>
    <row r="44" spans="2:21" x14ac:dyDescent="0.25">
      <c r="J44" s="226"/>
      <c r="S44" s="225"/>
    </row>
    <row r="45" spans="2:21" outlineLevel="1" x14ac:dyDescent="0.25">
      <c r="D45" s="215" t="s">
        <v>132</v>
      </c>
      <c r="E45" s="215" t="s">
        <v>130</v>
      </c>
    </row>
    <row r="46" spans="2:21" outlineLevel="1" x14ac:dyDescent="0.25">
      <c r="B46" s="224"/>
      <c r="C46" s="224"/>
      <c r="D46" s="316"/>
      <c r="E46" s="316"/>
      <c r="M46" s="221" t="s">
        <v>93</v>
      </c>
      <c r="N46" s="220"/>
      <c r="O46" s="220"/>
      <c r="P46" s="341" t="s">
        <v>92</v>
      </c>
      <c r="Q46" s="348"/>
      <c r="R46" s="348"/>
      <c r="S46" s="348"/>
      <c r="T46" s="348"/>
      <c r="U46" s="349"/>
    </row>
    <row r="47" spans="2:21" outlineLevel="1" x14ac:dyDescent="0.25">
      <c r="D47" s="215" t="s">
        <v>129</v>
      </c>
      <c r="E47" s="215" t="s">
        <v>128</v>
      </c>
      <c r="J47" s="226"/>
      <c r="K47" s="225"/>
      <c r="L47" s="225"/>
      <c r="M47" s="341" t="str">
        <f>M16</f>
        <v>Anzahl Klicks pro Monat</v>
      </c>
      <c r="N47" s="218"/>
      <c r="O47" s="218"/>
      <c r="P47" s="218">
        <f>Q47-$E$31</f>
        <v>15</v>
      </c>
      <c r="Q47" s="218">
        <v>25</v>
      </c>
      <c r="R47" s="218">
        <f t="shared" ref="R47:U48" si="3">Q47+$E$31</f>
        <v>35</v>
      </c>
      <c r="S47" s="218">
        <f t="shared" si="3"/>
        <v>45</v>
      </c>
      <c r="T47" s="218">
        <f t="shared" si="3"/>
        <v>55</v>
      </c>
      <c r="U47" s="218">
        <f t="shared" si="3"/>
        <v>65</v>
      </c>
    </row>
    <row r="48" spans="2:21" outlineLevel="1" x14ac:dyDescent="0.25">
      <c r="D48" s="215" t="s">
        <v>127</v>
      </c>
      <c r="E48" s="315">
        <v>10</v>
      </c>
      <c r="J48" s="226"/>
      <c r="M48" s="341"/>
      <c r="N48" s="223"/>
      <c r="O48" s="219">
        <f>$K$24</f>
        <v>186.08599999999998</v>
      </c>
      <c r="P48" s="218">
        <f>Q48-$E$31</f>
        <v>-10</v>
      </c>
      <c r="Q48" s="218">
        <v>0</v>
      </c>
      <c r="R48" s="218">
        <f t="shared" si="3"/>
        <v>10</v>
      </c>
      <c r="S48" s="218">
        <f t="shared" si="3"/>
        <v>20</v>
      </c>
      <c r="T48" s="218">
        <f t="shared" si="3"/>
        <v>30</v>
      </c>
      <c r="U48" s="218">
        <f t="shared" si="3"/>
        <v>40</v>
      </c>
    </row>
    <row r="49" spans="4:21" outlineLevel="1" x14ac:dyDescent="0.25">
      <c r="D49" s="215" t="s">
        <v>132</v>
      </c>
      <c r="E49" s="315">
        <v>200</v>
      </c>
      <c r="J49" s="226"/>
      <c r="M49" s="341"/>
      <c r="N49" s="223">
        <f>Stundensatz!$Q$17+O49</f>
        <v>200</v>
      </c>
      <c r="O49" s="223">
        <f>O50-$E$49</f>
        <v>-800</v>
      </c>
      <c r="P49" s="216">
        <f t="dataTable" ref="P49:U60" dt2D="1" dtr="1" r1="E46" r2="D46"/>
        <v>541.7166666666667</v>
      </c>
      <c r="Q49" s="216">
        <v>372.50200000000001</v>
      </c>
      <c r="R49" s="216">
        <v>299.98142857142858</v>
      </c>
      <c r="S49" s="216">
        <v>259.69222222222226</v>
      </c>
      <c r="T49" s="216">
        <v>234.05363636363634</v>
      </c>
      <c r="U49" s="216">
        <v>216.30384615384617</v>
      </c>
    </row>
    <row r="50" spans="4:21" outlineLevel="1" x14ac:dyDescent="0.25">
      <c r="J50" s="226"/>
      <c r="M50" s="341"/>
      <c r="N50" s="223">
        <f>Stundensatz!$Q$17+O50</f>
        <v>400</v>
      </c>
      <c r="O50" s="223">
        <f>O51-$E$49</f>
        <v>-600</v>
      </c>
      <c r="P50" s="216">
        <v>347.53333333333336</v>
      </c>
      <c r="Q50" s="216">
        <v>255.99200000000002</v>
      </c>
      <c r="R50" s="216">
        <v>216.76</v>
      </c>
      <c r="S50" s="216">
        <v>194.96444444444444</v>
      </c>
      <c r="T50" s="216">
        <v>181.09454545454548</v>
      </c>
      <c r="U50" s="216">
        <v>171.49230769230769</v>
      </c>
    </row>
    <row r="51" spans="4:21" outlineLevel="1" x14ac:dyDescent="0.25">
      <c r="J51" s="226"/>
      <c r="M51" s="341"/>
      <c r="N51" s="223">
        <f>Stundensatz!$Q$17+O51</f>
        <v>600</v>
      </c>
      <c r="O51" s="223">
        <f>O52-$E$49</f>
        <v>-400</v>
      </c>
      <c r="P51" s="216">
        <v>282.80555555555549</v>
      </c>
      <c r="Q51" s="216">
        <v>217.15533333333332</v>
      </c>
      <c r="R51" s="216">
        <v>189.0195238095238</v>
      </c>
      <c r="S51" s="216">
        <v>173.38851851851854</v>
      </c>
      <c r="T51" s="216">
        <v>163.44151515151515</v>
      </c>
      <c r="U51" s="216">
        <v>156.5551282051282</v>
      </c>
    </row>
    <row r="52" spans="4:21" outlineLevel="1" x14ac:dyDescent="0.25">
      <c r="J52" s="226"/>
      <c r="M52" s="341"/>
      <c r="N52" s="223">
        <f>Stundensatz!$Q$17+O52</f>
        <v>800</v>
      </c>
      <c r="O52" s="223">
        <f>O53-$E$49</f>
        <v>-200</v>
      </c>
      <c r="P52" s="216">
        <v>250.44166666666666</v>
      </c>
      <c r="Q52" s="216">
        <v>197.73700000000002</v>
      </c>
      <c r="R52" s="216">
        <v>175.14928571428572</v>
      </c>
      <c r="S52" s="216">
        <v>162.60055555555556</v>
      </c>
      <c r="T52" s="216">
        <v>154.61500000000001</v>
      </c>
      <c r="U52" s="216">
        <v>149.08653846153848</v>
      </c>
    </row>
    <row r="53" spans="4:21" outlineLevel="1" x14ac:dyDescent="0.25">
      <c r="J53" s="226"/>
      <c r="M53" s="341"/>
      <c r="N53" s="223">
        <f>Stundensatz!$Q$17+O53</f>
        <v>1000</v>
      </c>
      <c r="O53" s="223">
        <v>0</v>
      </c>
      <c r="P53" s="216">
        <v>231.02333333333334</v>
      </c>
      <c r="Q53" s="216">
        <v>186.08599999999998</v>
      </c>
      <c r="R53" s="216">
        <v>166.82714285714286</v>
      </c>
      <c r="S53" s="216">
        <v>156.12777777777779</v>
      </c>
      <c r="T53" s="216">
        <v>149.3190909090909</v>
      </c>
      <c r="U53" s="216">
        <v>144.60538461538462</v>
      </c>
    </row>
    <row r="54" spans="4:21" outlineLevel="1" x14ac:dyDescent="0.25">
      <c r="J54" s="228"/>
      <c r="M54" s="341"/>
      <c r="N54" s="223">
        <f>Stundensatz!$Q$17+O54</f>
        <v>1200</v>
      </c>
      <c r="O54" s="223">
        <f t="shared" ref="O54:O60" si="4">O53+$E$49</f>
        <v>200</v>
      </c>
      <c r="P54" s="216">
        <v>218.07777777777778</v>
      </c>
      <c r="Q54" s="216">
        <v>178.31866666666667</v>
      </c>
      <c r="R54" s="216">
        <v>161.27904761904762</v>
      </c>
      <c r="S54" s="216">
        <v>151.81259259259264</v>
      </c>
      <c r="T54" s="216">
        <v>145.78848484848484</v>
      </c>
      <c r="U54" s="216">
        <v>141.61794871794874</v>
      </c>
    </row>
    <row r="55" spans="4:21" outlineLevel="1" x14ac:dyDescent="0.25">
      <c r="J55" s="228"/>
      <c r="M55" s="341"/>
      <c r="N55" s="223">
        <f>Stundensatz!$Q$17+O55</f>
        <v>1400</v>
      </c>
      <c r="O55" s="223">
        <f t="shared" si="4"/>
        <v>400</v>
      </c>
      <c r="P55" s="216">
        <v>208.83095238095234</v>
      </c>
      <c r="Q55" s="216">
        <v>172.77057142857143</v>
      </c>
      <c r="R55" s="216">
        <v>157.3161224489796</v>
      </c>
      <c r="S55" s="216">
        <v>148.73031746031748</v>
      </c>
      <c r="T55" s="216">
        <v>143.26662337662339</v>
      </c>
      <c r="U55" s="216">
        <v>139.48406593406594</v>
      </c>
    </row>
    <row r="56" spans="4:21" outlineLevel="1" x14ac:dyDescent="0.25">
      <c r="J56" s="226"/>
      <c r="M56" s="341"/>
      <c r="N56" s="223">
        <f>Stundensatz!$Q$17+O56</f>
        <v>1600</v>
      </c>
      <c r="O56" s="223">
        <f t="shared" si="4"/>
        <v>600</v>
      </c>
      <c r="P56" s="216">
        <v>201.89583333333337</v>
      </c>
      <c r="Q56" s="216">
        <v>168.6095</v>
      </c>
      <c r="R56" s="216">
        <v>154.34392857142859</v>
      </c>
      <c r="S56" s="216">
        <v>146.41861111111112</v>
      </c>
      <c r="T56" s="216">
        <v>141.3752272727273</v>
      </c>
      <c r="U56" s="216">
        <v>137.88365384615386</v>
      </c>
    </row>
    <row r="57" spans="4:21" outlineLevel="1" x14ac:dyDescent="0.25">
      <c r="J57" s="226"/>
      <c r="M57" s="341"/>
      <c r="N57" s="223">
        <f>Stundensatz!$Q$17+O57</f>
        <v>1800</v>
      </c>
      <c r="O57" s="223">
        <f t="shared" si="4"/>
        <v>800</v>
      </c>
      <c r="P57" s="216">
        <v>196.50185185185188</v>
      </c>
      <c r="Q57" s="216">
        <v>165.37311111111109</v>
      </c>
      <c r="R57" s="216">
        <v>152.03222222222223</v>
      </c>
      <c r="S57" s="216">
        <v>144.62061728395062</v>
      </c>
      <c r="T57" s="216">
        <v>139.90414141414141</v>
      </c>
      <c r="U57" s="216">
        <v>136.63888888888891</v>
      </c>
    </row>
    <row r="58" spans="4:21" outlineLevel="1" x14ac:dyDescent="0.25">
      <c r="J58" s="227"/>
      <c r="M58" s="341"/>
      <c r="N58" s="223">
        <f>Stundensatz!$Q$17+O58</f>
        <v>2000</v>
      </c>
      <c r="O58" s="223">
        <f t="shared" si="4"/>
        <v>1000</v>
      </c>
      <c r="P58" s="216">
        <v>192.18666666666667</v>
      </c>
      <c r="Q58" s="216">
        <v>162.78399999999999</v>
      </c>
      <c r="R58" s="216">
        <v>150.18285714285716</v>
      </c>
      <c r="S58" s="216">
        <v>143.18222222222221</v>
      </c>
      <c r="T58" s="216">
        <v>138.72727272727275</v>
      </c>
      <c r="U58" s="216">
        <v>135.64307692307693</v>
      </c>
    </row>
    <row r="59" spans="4:21" outlineLevel="1" x14ac:dyDescent="0.25">
      <c r="J59" s="226"/>
      <c r="M59" s="341"/>
      <c r="N59" s="223">
        <f>Stundensatz!$Q$17+O59</f>
        <v>2200</v>
      </c>
      <c r="O59" s="223">
        <f t="shared" si="4"/>
        <v>1200</v>
      </c>
      <c r="P59" s="216">
        <v>188.65606060606061</v>
      </c>
      <c r="Q59" s="216">
        <v>160.66563636363639</v>
      </c>
      <c r="R59" s="216">
        <v>148.66974025974028</v>
      </c>
      <c r="S59" s="216">
        <v>142.00535353535352</v>
      </c>
      <c r="T59" s="216">
        <v>137.76438016528928</v>
      </c>
      <c r="U59" s="216">
        <v>134.82832167832169</v>
      </c>
    </row>
    <row r="60" spans="4:21" outlineLevel="1" x14ac:dyDescent="0.25">
      <c r="J60" s="226"/>
      <c r="M60" s="341"/>
      <c r="N60" s="223">
        <f>Stundensatz!$Q$17+O60</f>
        <v>2400</v>
      </c>
      <c r="O60" s="223">
        <f t="shared" si="4"/>
        <v>1400</v>
      </c>
      <c r="P60" s="216">
        <v>185.71388888888885</v>
      </c>
      <c r="Q60" s="216">
        <v>158.90033333333335</v>
      </c>
      <c r="R60" s="216">
        <v>147.40880952380954</v>
      </c>
      <c r="S60" s="216">
        <v>141.02462962962963</v>
      </c>
      <c r="T60" s="216">
        <v>136.9619696969697</v>
      </c>
      <c r="U60" s="216">
        <v>134.14935897435896</v>
      </c>
    </row>
    <row r="62" spans="4:21" outlineLevel="1" x14ac:dyDescent="0.25">
      <c r="D62" s="215" t="s">
        <v>131</v>
      </c>
      <c r="E62" s="215" t="s">
        <v>130</v>
      </c>
    </row>
    <row r="63" spans="4:21" outlineLevel="1" x14ac:dyDescent="0.25">
      <c r="D63" s="316"/>
      <c r="E63" s="316"/>
      <c r="M63" s="221" t="s">
        <v>93</v>
      </c>
      <c r="N63" s="220"/>
      <c r="O63" s="220"/>
      <c r="P63" s="341" t="s">
        <v>92</v>
      </c>
      <c r="Q63" s="348"/>
      <c r="R63" s="348"/>
      <c r="S63" s="348"/>
      <c r="T63" s="348"/>
      <c r="U63" s="349"/>
    </row>
    <row r="64" spans="4:21" outlineLevel="1" x14ac:dyDescent="0.25">
      <c r="D64" s="215" t="s">
        <v>129</v>
      </c>
      <c r="E64" s="215" t="s">
        <v>128</v>
      </c>
      <c r="J64" s="226"/>
      <c r="K64" s="225"/>
      <c r="L64" s="225"/>
      <c r="M64" s="341" t="str">
        <f>M18</f>
        <v>Conversion rate (für Lead)</v>
      </c>
      <c r="N64" s="218"/>
      <c r="O64" s="218"/>
      <c r="P64" s="218">
        <f>Q64-$E$31</f>
        <v>15</v>
      </c>
      <c r="Q64" s="218">
        <v>25</v>
      </c>
      <c r="R64" s="218">
        <f>Q64+$E$31</f>
        <v>35</v>
      </c>
      <c r="S64" s="218">
        <f>R64+$E$31</f>
        <v>45</v>
      </c>
      <c r="T64" s="218">
        <f>S64+$E$31</f>
        <v>55</v>
      </c>
      <c r="U64" s="218">
        <f>T64+$E$31</f>
        <v>65</v>
      </c>
    </row>
    <row r="65" spans="4:21" outlineLevel="1" x14ac:dyDescent="0.25">
      <c r="D65" s="215" t="s">
        <v>127</v>
      </c>
      <c r="E65" s="315">
        <v>10</v>
      </c>
      <c r="J65" s="226"/>
      <c r="M65" s="341"/>
      <c r="N65" s="223"/>
      <c r="O65" s="219">
        <f>$K$24</f>
        <v>186.08599999999998</v>
      </c>
      <c r="P65" s="218">
        <f>Q65-$E$65</f>
        <v>-10</v>
      </c>
      <c r="Q65" s="218">
        <v>0</v>
      </c>
      <c r="R65" s="218">
        <f>Q65+$E$65</f>
        <v>10</v>
      </c>
      <c r="S65" s="218">
        <f>R65+$E$65</f>
        <v>20</v>
      </c>
      <c r="T65" s="218">
        <f>S65+$E$65</f>
        <v>30</v>
      </c>
      <c r="U65" s="218">
        <f>T65+$E$65</f>
        <v>40</v>
      </c>
    </row>
    <row r="66" spans="4:21" outlineLevel="1" x14ac:dyDescent="0.25">
      <c r="D66" s="215" t="s">
        <v>126</v>
      </c>
      <c r="E66" s="314">
        <v>5.0000000000000001E-3</v>
      </c>
      <c r="J66" s="226"/>
      <c r="M66" s="341"/>
      <c r="N66" s="217">
        <f>Stundensatz!$Q$19+O66</f>
        <v>-0.01</v>
      </c>
      <c r="O66" s="217">
        <f>O67-$E$66</f>
        <v>-0.02</v>
      </c>
      <c r="P66" s="216">
        <f t="dataTable" ref="P66:U77" dt2D="1" dtr="1" r1="E63" r2="D63" ca="1"/>
        <v>65.676666666666677</v>
      </c>
      <c r="Q66" s="216">
        <v>86.878000000000014</v>
      </c>
      <c r="R66" s="216">
        <v>95.964285714285722</v>
      </c>
      <c r="S66" s="216">
        <v>101.01222222222223</v>
      </c>
      <c r="T66" s="216">
        <v>104.22454545454546</v>
      </c>
      <c r="U66" s="216">
        <v>106.44846153846154</v>
      </c>
    </row>
    <row r="67" spans="4:21" outlineLevel="1" x14ac:dyDescent="0.25">
      <c r="J67" s="226"/>
      <c r="M67" s="341"/>
      <c r="N67" s="217">
        <f>Stundensatz!$Q$19+O67</f>
        <v>-4.9999999999999992E-3</v>
      </c>
      <c r="O67" s="217">
        <f>O68-$E$66</f>
        <v>-1.4999999999999999E-2</v>
      </c>
      <c r="P67" s="216">
        <v>-16.99666666666667</v>
      </c>
      <c r="Q67" s="216">
        <v>37.273999999999987</v>
      </c>
      <c r="R67" s="216">
        <v>60.532857142857146</v>
      </c>
      <c r="S67" s="216">
        <v>73.454444444444448</v>
      </c>
      <c r="T67" s="216">
        <v>81.677272727272722</v>
      </c>
      <c r="U67" s="216">
        <v>87.37</v>
      </c>
    </row>
    <row r="68" spans="4:21" outlineLevel="1" x14ac:dyDescent="0.25">
      <c r="J68" s="226"/>
      <c r="M68" s="341"/>
      <c r="N68" s="217">
        <f>Stundensatz!$Q$19+O68</f>
        <v>0</v>
      </c>
      <c r="O68" s="217">
        <f>O69-$E$66</f>
        <v>-0.01</v>
      </c>
      <c r="P68" s="216" t="e">
        <v>#DIV/0!</v>
      </c>
      <c r="Q68" s="216" t="e">
        <v>#DIV/0!</v>
      </c>
      <c r="R68" s="216" t="e">
        <v>#DIV/0!</v>
      </c>
      <c r="S68" s="216" t="e">
        <v>#DIV/0!</v>
      </c>
      <c r="T68" s="216" t="e">
        <v>#DIV/0!</v>
      </c>
      <c r="U68" s="216" t="e">
        <v>#DIV/0!</v>
      </c>
    </row>
    <row r="69" spans="4:21" outlineLevel="1" x14ac:dyDescent="0.25">
      <c r="J69" s="226"/>
      <c r="M69" s="341"/>
      <c r="N69" s="217">
        <f>Stundensatz!$Q$19+O69</f>
        <v>5.0000000000000001E-3</v>
      </c>
      <c r="O69" s="217">
        <f>O70-$E$66</f>
        <v>-5.0000000000000001E-3</v>
      </c>
      <c r="P69" s="216">
        <v>313.69666666666666</v>
      </c>
      <c r="Q69" s="216">
        <v>235.69</v>
      </c>
      <c r="R69" s="216">
        <v>202.25857142857143</v>
      </c>
      <c r="S69" s="216">
        <v>183.68555555555554</v>
      </c>
      <c r="T69" s="216">
        <v>171.86636363636367</v>
      </c>
      <c r="U69" s="216">
        <v>163.68384615384616</v>
      </c>
    </row>
    <row r="70" spans="4:21" outlineLevel="1" x14ac:dyDescent="0.25">
      <c r="J70" s="226"/>
      <c r="M70" s="341"/>
      <c r="N70" s="217">
        <f>Stundensatz!$Q$19+O70</f>
        <v>0.01</v>
      </c>
      <c r="O70" s="217">
        <v>0</v>
      </c>
      <c r="P70" s="216">
        <v>231.02333333333334</v>
      </c>
      <c r="Q70" s="216">
        <v>186.08599999999998</v>
      </c>
      <c r="R70" s="216">
        <v>166.82714285714286</v>
      </c>
      <c r="S70" s="216">
        <v>156.12777777777779</v>
      </c>
      <c r="T70" s="216">
        <v>149.3190909090909</v>
      </c>
      <c r="U70" s="216">
        <v>144.60538461538462</v>
      </c>
    </row>
    <row r="71" spans="4:21" outlineLevel="1" x14ac:dyDescent="0.25">
      <c r="J71" s="228"/>
      <c r="M71" s="341"/>
      <c r="N71" s="217">
        <f>Stundensatz!$Q$19+O71</f>
        <v>1.4999999999999999E-2</v>
      </c>
      <c r="O71" s="217">
        <f t="shared" ref="O71:O77" si="5">O70+$E$66</f>
        <v>5.0000000000000001E-3</v>
      </c>
      <c r="P71" s="216">
        <v>203.46555555555557</v>
      </c>
      <c r="Q71" s="216">
        <v>169.55133333333333</v>
      </c>
      <c r="R71" s="216">
        <v>155.01666666666665</v>
      </c>
      <c r="S71" s="216">
        <v>146.94185185185188</v>
      </c>
      <c r="T71" s="216">
        <v>141.80333333333334</v>
      </c>
      <c r="U71" s="216">
        <v>138.24589743589743</v>
      </c>
    </row>
    <row r="72" spans="4:21" outlineLevel="1" x14ac:dyDescent="0.25">
      <c r="J72" s="228"/>
      <c r="M72" s="341"/>
      <c r="N72" s="217">
        <f>Stundensatz!$Q$19+O72</f>
        <v>0.02</v>
      </c>
      <c r="O72" s="217">
        <f t="shared" si="5"/>
        <v>0.01</v>
      </c>
      <c r="P72" s="216">
        <v>189.68666666666667</v>
      </c>
      <c r="Q72" s="216">
        <v>161.28399999999999</v>
      </c>
      <c r="R72" s="216">
        <v>149.11142857142858</v>
      </c>
      <c r="S72" s="216">
        <v>142.34888888888889</v>
      </c>
      <c r="T72" s="216">
        <v>138.04545454545453</v>
      </c>
      <c r="U72" s="216">
        <v>135.06615384615387</v>
      </c>
    </row>
    <row r="73" spans="4:21" outlineLevel="1" x14ac:dyDescent="0.25">
      <c r="J73" s="226"/>
      <c r="M73" s="341"/>
      <c r="N73" s="217">
        <f>Stundensatz!$Q$19+O73</f>
        <v>2.5000000000000001E-2</v>
      </c>
      <c r="O73" s="217">
        <f t="shared" si="5"/>
        <v>1.4999999999999999E-2</v>
      </c>
      <c r="P73" s="216">
        <v>181.41933333333336</v>
      </c>
      <c r="Q73" s="216">
        <v>156.3236</v>
      </c>
      <c r="R73" s="216">
        <v>145.56828571428571</v>
      </c>
      <c r="S73" s="216">
        <v>139.59311111111111</v>
      </c>
      <c r="T73" s="216">
        <v>135.79072727272728</v>
      </c>
      <c r="U73" s="216">
        <v>133.15830769230769</v>
      </c>
    </row>
    <row r="74" spans="4:21" outlineLevel="1" x14ac:dyDescent="0.25">
      <c r="J74" s="226"/>
      <c r="M74" s="341"/>
      <c r="N74" s="217">
        <f>Stundensatz!$Q$19+O74</f>
        <v>0.03</v>
      </c>
      <c r="O74" s="217">
        <f t="shared" si="5"/>
        <v>0.02</v>
      </c>
      <c r="P74" s="216">
        <v>175.90777777777777</v>
      </c>
      <c r="Q74" s="216">
        <v>153.01666666666668</v>
      </c>
      <c r="R74" s="216">
        <v>143.2061904761905</v>
      </c>
      <c r="S74" s="216">
        <v>137.75592592592591</v>
      </c>
      <c r="T74" s="216">
        <v>134.28757575757578</v>
      </c>
      <c r="U74" s="216">
        <v>131.88641025641027</v>
      </c>
    </row>
    <row r="75" spans="4:21" outlineLevel="1" x14ac:dyDescent="0.25">
      <c r="J75" s="227"/>
      <c r="M75" s="341"/>
      <c r="N75" s="217">
        <f>Stundensatz!$Q$19+O75</f>
        <v>3.5000000000000003E-2</v>
      </c>
      <c r="O75" s="217">
        <f t="shared" si="5"/>
        <v>2.5000000000000001E-2</v>
      </c>
      <c r="P75" s="216">
        <v>171.97095238095238</v>
      </c>
      <c r="Q75" s="216">
        <v>150.65457142857144</v>
      </c>
      <c r="R75" s="216">
        <v>141.51897959183674</v>
      </c>
      <c r="S75" s="216">
        <v>136.44365079365082</v>
      </c>
      <c r="T75" s="216">
        <v>133.2138961038961</v>
      </c>
      <c r="U75" s="216">
        <v>130.9779120879121</v>
      </c>
    </row>
    <row r="76" spans="4:21" outlineLevel="1" x14ac:dyDescent="0.25">
      <c r="J76" s="226"/>
      <c r="M76" s="341"/>
      <c r="N76" s="217">
        <f>Stundensatz!$Q$19+O76</f>
        <v>0.04</v>
      </c>
      <c r="O76" s="217">
        <f t="shared" si="5"/>
        <v>3.0000000000000002E-2</v>
      </c>
      <c r="P76" s="216">
        <v>169.01833333333335</v>
      </c>
      <c r="Q76" s="216">
        <v>148.88299999999998</v>
      </c>
      <c r="R76" s="216">
        <v>140.25357142857143</v>
      </c>
      <c r="S76" s="216">
        <v>135.45944444444447</v>
      </c>
      <c r="T76" s="216">
        <v>132.40863636363636</v>
      </c>
      <c r="U76" s="216">
        <v>130.29653846153849</v>
      </c>
    </row>
    <row r="77" spans="4:21" outlineLevel="1" x14ac:dyDescent="0.25">
      <c r="J77" s="226"/>
      <c r="M77" s="341"/>
      <c r="N77" s="217">
        <f>Stundensatz!$Q$19+O77</f>
        <v>4.5000000000000005E-2</v>
      </c>
      <c r="O77" s="217">
        <f t="shared" si="5"/>
        <v>3.5000000000000003E-2</v>
      </c>
      <c r="P77" s="216">
        <v>166.72185185185185</v>
      </c>
      <c r="Q77" s="216">
        <v>147.50511111111109</v>
      </c>
      <c r="R77" s="216">
        <v>139.26936507936509</v>
      </c>
      <c r="S77" s="216">
        <v>134.69395061728395</v>
      </c>
      <c r="T77" s="216">
        <v>131.78232323232325</v>
      </c>
      <c r="U77" s="216">
        <v>129.76658119658123</v>
      </c>
    </row>
    <row r="78" spans="4:21" outlineLevel="1" x14ac:dyDescent="0.25"/>
  </sheetData>
  <mergeCells count="6">
    <mergeCell ref="M64:M77"/>
    <mergeCell ref="P29:U29"/>
    <mergeCell ref="M30:M43"/>
    <mergeCell ref="P46:U46"/>
    <mergeCell ref="M47:M60"/>
    <mergeCell ref="P63:U63"/>
  </mergeCells>
  <conditionalFormatting sqref="P32:U43">
    <cfRule type="cellIs" dxfId="8" priority="7" stopIfTrue="1" operator="equal">
      <formula>#REF!</formula>
    </cfRule>
  </conditionalFormatting>
  <conditionalFormatting sqref="Q32:U41">
    <cfRule type="expression" dxfId="7" priority="8" stopIfTrue="1">
      <formula>IFERROR(MATCH(#REF!,$P32:$U32,0),0)&gt;0</formula>
    </cfRule>
  </conditionalFormatting>
  <conditionalFormatting sqref="Q32:U41">
    <cfRule type="expression" dxfId="6" priority="9" stopIfTrue="1">
      <formula>(IFERROR(MATCH(#REF!,Q$32:Q$43,0),0))&gt;0</formula>
    </cfRule>
  </conditionalFormatting>
  <conditionalFormatting sqref="P49:U60">
    <cfRule type="cellIs" dxfId="5" priority="4" stopIfTrue="1" operator="equal">
      <formula>#REF!</formula>
    </cfRule>
  </conditionalFormatting>
  <conditionalFormatting sqref="Q49:U58">
    <cfRule type="expression" dxfId="4" priority="5" stopIfTrue="1">
      <formula>IFERROR(MATCH(#REF!,$P49:$U49,0),0)&gt;0</formula>
    </cfRule>
  </conditionalFormatting>
  <conditionalFormatting sqref="Q49:U58">
    <cfRule type="expression" dxfId="3" priority="6" stopIfTrue="1">
      <formula>(IFERROR(MATCH(#REF!,Q$32:Q$43,0),0))&gt;0</formula>
    </cfRule>
  </conditionalFormatting>
  <conditionalFormatting sqref="P66:U77">
    <cfRule type="cellIs" dxfId="2" priority="1" stopIfTrue="1" operator="equal">
      <formula>#REF!</formula>
    </cfRule>
  </conditionalFormatting>
  <conditionalFormatting sqref="Q66:U75">
    <cfRule type="expression" dxfId="1" priority="2" stopIfTrue="1">
      <formula>IFERROR(MATCH(#REF!,$P66:$U66,0),0)&gt;0</formula>
    </cfRule>
  </conditionalFormatting>
  <conditionalFormatting sqref="Q66:U75">
    <cfRule type="expression" dxfId="0" priority="3" stopIfTrue="1">
      <formula>(IFERROR(MATCH(#REF!,Q$32:Q$43,0),0))&gt;0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Worksheets</vt:lpstr>
      </vt:variant>
      <vt:variant>
        <vt:i4>8</vt:i4>
      </vt:variant>
    </vt:vector>
  </HeadingPairs>
  <TitlesOfParts>
    <vt:vector size="8" baseType="lpstr">
      <vt:lpstr>Vollkosten Zusammenfassung</vt:lpstr>
      <vt:lpstr>verstecken</vt:lpstr>
      <vt:lpstr>Stundensatz</vt:lpstr>
      <vt:lpstr>Vergleichstabelle</vt:lpstr>
      <vt:lpstr>Bemerkungen</vt:lpstr>
      <vt:lpstr>Kontakt</vt:lpstr>
      <vt:lpstr>Sheet1</vt:lpstr>
      <vt:lpstr>Arbeitsblatt (draft)</vt:lpstr>
    </vt:vector>
  </TitlesOfParts>
  <Manager>Philipp Stirnemann</Manager>
  <Company>Rasminka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Einflussfaktoren auf den Stundensatz - Berechnungsfile</dc:title>
  <dc:creator>Philipp Stirnemann</dc:creator>
  <dcterms:created xsi:type="dcterms:W3CDTF">2021-08-18T08:26:48Z</dcterms:created>
  <dcterms:modified xsi:type="dcterms:W3CDTF">2021-10-14T08:43:32Z</dcterms:modified>
  <dc:language>Deutsch</dc:language>
</cp:coreProperties>
</file>